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840" windowWidth="38400" windowHeight="16440" activeTab="2"/>
  </bookViews>
  <sheets>
    <sheet name="Spelregels" sheetId="7" r:id="rId1"/>
    <sheet name="ranglijst" sheetId="4" state="hidden" r:id="rId2"/>
    <sheet name="Voorspelling" sheetId="1" r:id="rId3"/>
    <sheet name="uitslag" sheetId="2" state="hidden" r:id="rId4"/>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71" i="2" l="1"/>
  <c r="Y70" i="2"/>
  <c r="Y69" i="2"/>
  <c r="Y68" i="2"/>
  <c r="Y67" i="2"/>
  <c r="Y66" i="2"/>
  <c r="Y65" i="2"/>
  <c r="Y64" i="2"/>
  <c r="Y63" i="2"/>
  <c r="Y62" i="2"/>
  <c r="Y61" i="2"/>
  <c r="Y60" i="2"/>
  <c r="Y59" i="2"/>
  <c r="Y58" i="2"/>
  <c r="Y57" i="2"/>
  <c r="Y56" i="2"/>
  <c r="Y55" i="2"/>
  <c r="Y54" i="2"/>
  <c r="Y53" i="2"/>
  <c r="Y52" i="2"/>
  <c r="Y51" i="2"/>
  <c r="Y50" i="2"/>
  <c r="Y49" i="2"/>
  <c r="Y48" i="2"/>
  <c r="Y47" i="2"/>
  <c r="Y46" i="2"/>
  <c r="Y45" i="2"/>
  <c r="Y44" i="2"/>
  <c r="Y43" i="2"/>
  <c r="AE46" i="1"/>
  <c r="AE55" i="1" l="1"/>
  <c r="AE54" i="1"/>
  <c r="AE53" i="1"/>
  <c r="AE52" i="1"/>
  <c r="AE51" i="1"/>
  <c r="AE50" i="1"/>
  <c r="AE49" i="1"/>
  <c r="AE48" i="1"/>
  <c r="AE47" i="1"/>
  <c r="Q7" i="2" l="1"/>
  <c r="Q40" i="2"/>
  <c r="Q39" i="2"/>
  <c r="Q38" i="2"/>
  <c r="Q37" i="2"/>
  <c r="Q34" i="2"/>
  <c r="Q33" i="2"/>
  <c r="Q32" i="2"/>
  <c r="Q31" i="2"/>
  <c r="Q28" i="2"/>
  <c r="Q27" i="2"/>
  <c r="Q26" i="2"/>
  <c r="Q25" i="2"/>
  <c r="Q22" i="2"/>
  <c r="Q21" i="2"/>
  <c r="Q20" i="2"/>
  <c r="Q19" i="2"/>
  <c r="Q16" i="2"/>
  <c r="Q15" i="2"/>
  <c r="Q14" i="2"/>
  <c r="Q13" i="2"/>
  <c r="Q10" i="2"/>
  <c r="Q9" i="2"/>
  <c r="Q8" i="2"/>
  <c r="Q8" i="1" l="1"/>
  <c r="Q7" i="1"/>
  <c r="Y79" i="2" l="1"/>
  <c r="Y78" i="2"/>
  <c r="Y77" i="2"/>
  <c r="Y76" i="2"/>
  <c r="Y75" i="2"/>
  <c r="Y74" i="2"/>
  <c r="Y73" i="2"/>
  <c r="Y72" i="2"/>
  <c r="AE69" i="1"/>
  <c r="H55" i="2" l="1"/>
  <c r="F55" i="2"/>
  <c r="H55" i="1"/>
  <c r="F55" i="1"/>
  <c r="AT14" i="1" l="1"/>
  <c r="AT13" i="1"/>
  <c r="AT7" i="1"/>
  <c r="AC57" i="2"/>
  <c r="AC56" i="2"/>
  <c r="AC55" i="2"/>
  <c r="AC54" i="2"/>
  <c r="AC53" i="2"/>
  <c r="AC52" i="2"/>
  <c r="AT49" i="1"/>
  <c r="N51" i="1" s="1"/>
  <c r="AT48" i="1"/>
  <c r="N50" i="1" s="1"/>
  <c r="AT47" i="1"/>
  <c r="N49" i="1" s="1"/>
  <c r="AT46" i="1"/>
  <c r="N48" i="1" s="1"/>
  <c r="AT45" i="1"/>
  <c r="N47" i="1" s="1"/>
  <c r="AT44" i="1"/>
  <c r="N46" i="1" s="1"/>
  <c r="AY43" i="1"/>
  <c r="BF43" i="1"/>
  <c r="H57" i="2"/>
  <c r="F57" i="2"/>
  <c r="H56" i="2"/>
  <c r="F56" i="2"/>
  <c r="H54" i="2"/>
  <c r="F54" i="2"/>
  <c r="F53" i="2"/>
  <c r="H52" i="2"/>
  <c r="F52" i="2"/>
  <c r="H51" i="2"/>
  <c r="H57" i="1"/>
  <c r="F57" i="1"/>
  <c r="H56" i="1"/>
  <c r="F56" i="1"/>
  <c r="H53" i="1"/>
  <c r="AN67" i="1" s="1"/>
  <c r="H54" i="1"/>
  <c r="H52" i="1"/>
  <c r="AN66" i="1" s="1"/>
  <c r="H51" i="1"/>
  <c r="AN65" i="1" s="1"/>
  <c r="F51" i="1"/>
  <c r="F54" i="1"/>
  <c r="AN64" i="1" s="1"/>
  <c r="F53" i="1"/>
  <c r="AN63" i="1" s="1"/>
  <c r="F52" i="1"/>
  <c r="AN62" i="1" s="1"/>
  <c r="AG49" i="2" l="1"/>
  <c r="AF71" i="2"/>
  <c r="AG44" i="2"/>
  <c r="AG43" i="2"/>
  <c r="AG47" i="2"/>
  <c r="AZ49" i="1"/>
  <c r="BF46" i="1"/>
  <c r="BE43" i="1"/>
  <c r="AH66" i="2"/>
  <c r="AH68" i="2"/>
  <c r="AH65" i="2"/>
  <c r="AH62" i="2"/>
  <c r="AH63" i="2"/>
  <c r="AH64" i="2"/>
  <c r="AQ65" i="1" l="1"/>
  <c r="AQ63" i="1"/>
  <c r="AQ64" i="1"/>
  <c r="AQ62" i="1"/>
  <c r="AQ68" i="1"/>
  <c r="AQ66" i="1"/>
  <c r="AP71" i="1"/>
  <c r="AF72" i="2"/>
  <c r="AP72" i="1" s="1"/>
  <c r="AF74" i="2"/>
  <c r="AP74" i="1" s="1"/>
  <c r="AF76" i="2"/>
  <c r="AP76" i="1" s="1"/>
  <c r="AM66" i="1"/>
  <c r="AM67" i="1"/>
  <c r="AM68" i="1"/>
  <c r="AM65" i="1"/>
  <c r="AM62" i="1"/>
  <c r="AM63" i="1"/>
  <c r="AM64" i="1"/>
  <c r="AM61" i="1"/>
  <c r="AK76" i="1"/>
  <c r="AK71" i="1"/>
  <c r="AK72" i="1"/>
  <c r="AK74" i="1"/>
  <c r="AE79" i="1"/>
  <c r="AE78" i="1"/>
  <c r="AE77" i="1"/>
  <c r="AE76" i="1"/>
  <c r="AE75" i="1"/>
  <c r="AE74" i="1"/>
  <c r="AE73" i="1"/>
  <c r="AE72" i="1"/>
  <c r="AE71" i="1"/>
  <c r="AE70" i="1"/>
  <c r="AE68" i="1"/>
  <c r="AE67" i="1"/>
  <c r="AE66" i="1"/>
  <c r="AE65" i="1"/>
  <c r="AE64" i="1"/>
  <c r="AE63" i="1"/>
  <c r="AE62" i="1"/>
  <c r="AE61" i="1"/>
  <c r="AE60" i="1"/>
  <c r="AE59" i="1"/>
  <c r="AE58" i="1"/>
  <c r="AE57" i="1"/>
  <c r="AE56" i="1"/>
  <c r="AE45" i="1"/>
  <c r="AE44" i="1"/>
  <c r="AZ43" i="1"/>
  <c r="AZ44" i="1"/>
  <c r="AZ47" i="1"/>
  <c r="AY50" i="1"/>
  <c r="AY49" i="1"/>
  <c r="AY48" i="1"/>
  <c r="F48" i="1" s="1"/>
  <c r="AY47" i="1"/>
  <c r="AY46" i="1"/>
  <c r="AY45" i="1"/>
  <c r="AY44" i="1"/>
  <c r="F44" i="1" s="1"/>
  <c r="AK66" i="1" l="1"/>
  <c r="AL66" i="1"/>
  <c r="AK62" i="1"/>
  <c r="AL62" i="1"/>
  <c r="AF49" i="2"/>
  <c r="H47" i="2"/>
  <c r="AF73" i="2" s="1"/>
  <c r="AF47" i="2"/>
  <c r="F47" i="2" s="1"/>
  <c r="AF46" i="2"/>
  <c r="F46" i="2" s="1"/>
  <c r="AF45" i="2"/>
  <c r="F45" i="2" s="1"/>
  <c r="H44" i="2"/>
  <c r="AF70" i="2" s="1"/>
  <c r="AF44" i="2"/>
  <c r="F44" i="2" s="1"/>
  <c r="AF62" i="2" s="1"/>
  <c r="H43" i="2"/>
  <c r="AF69" i="2" s="1"/>
  <c r="AP69" i="1" l="1"/>
  <c r="AP70" i="1"/>
  <c r="AP73" i="1"/>
  <c r="F49" i="2"/>
  <c r="W40" i="2"/>
  <c r="W39" i="2"/>
  <c r="W38" i="2"/>
  <c r="H49" i="2" s="1"/>
  <c r="AF75" i="2" s="1"/>
  <c r="W37" i="2"/>
  <c r="AF48" i="2" s="1"/>
  <c r="F48" i="2" s="1"/>
  <c r="W34" i="2"/>
  <c r="W33" i="2"/>
  <c r="W32" i="2"/>
  <c r="W31" i="2"/>
  <c r="AF50" i="2" s="1"/>
  <c r="F50" i="2" s="1"/>
  <c r="W28" i="2"/>
  <c r="W27" i="2"/>
  <c r="W26" i="2"/>
  <c r="W25" i="2"/>
  <c r="W22" i="2"/>
  <c r="W21" i="2"/>
  <c r="W20" i="2"/>
  <c r="W19" i="2"/>
  <c r="W16" i="2"/>
  <c r="W15" i="2"/>
  <c r="W14" i="2"/>
  <c r="W13" i="2"/>
  <c r="W10" i="2"/>
  <c r="W9" i="2"/>
  <c r="W8" i="2"/>
  <c r="W7" i="2"/>
  <c r="AF43" i="2" s="1"/>
  <c r="F43" i="2" s="1"/>
  <c r="F43" i="1"/>
  <c r="H47" i="1"/>
  <c r="AL73" i="1" s="1"/>
  <c r="H49" i="1"/>
  <c r="F46" i="1"/>
  <c r="F47" i="1"/>
  <c r="F49" i="1"/>
  <c r="F50" i="1"/>
  <c r="F45" i="1"/>
  <c r="H44" i="1"/>
  <c r="AL70" i="1" s="1"/>
  <c r="H43" i="1"/>
  <c r="AL69" i="1" s="1"/>
  <c r="AF45" i="1"/>
  <c r="AF46" i="1"/>
  <c r="AF47" i="1"/>
  <c r="AF48" i="1"/>
  <c r="AF49" i="1"/>
  <c r="AF50" i="1"/>
  <c r="AF51" i="1"/>
  <c r="AF43" i="1"/>
  <c r="BC62" i="1"/>
  <c r="BB62" i="1"/>
  <c r="BB61" i="1"/>
  <c r="BB60" i="1"/>
  <c r="H53" i="2" l="1"/>
  <c r="AH67" i="2" s="1"/>
  <c r="AQ67" i="1" s="1"/>
  <c r="AP75" i="1"/>
  <c r="AF61" i="2"/>
  <c r="AK65" i="1"/>
  <c r="AL65" i="1"/>
  <c r="AK68" i="1"/>
  <c r="AL68" i="1"/>
  <c r="AK63" i="1"/>
  <c r="AL63" i="1"/>
  <c r="AK67" i="1"/>
  <c r="AL67" i="1"/>
  <c r="AK64" i="1"/>
  <c r="AL64" i="1"/>
  <c r="AK70" i="1"/>
  <c r="AK75" i="1"/>
  <c r="AK69" i="1"/>
  <c r="AK73" i="1"/>
  <c r="AK61" i="1"/>
  <c r="AF68" i="2"/>
  <c r="AF66" i="2"/>
  <c r="AF64" i="2"/>
  <c r="AP62" i="1"/>
  <c r="AF67" i="2"/>
  <c r="AF65" i="2"/>
  <c r="AF63" i="2"/>
  <c r="W3" i="1"/>
  <c r="AW60" i="1"/>
  <c r="AW61" i="1"/>
  <c r="AW62" i="1"/>
  <c r="BA62" i="1" s="1"/>
  <c r="AW59" i="1"/>
  <c r="BA59" i="1" s="1"/>
  <c r="BE44" i="1"/>
  <c r="BE45" i="1"/>
  <c r="BE46" i="1"/>
  <c r="BE47" i="1"/>
  <c r="BE48" i="1"/>
  <c r="BE49" i="1"/>
  <c r="BE50" i="1"/>
  <c r="BE51" i="1"/>
  <c r="BE52" i="1"/>
  <c r="BE53" i="1"/>
  <c r="BF53" i="1"/>
  <c r="AA53" i="1" s="1"/>
  <c r="BF44" i="1"/>
  <c r="AA44" i="1" s="1"/>
  <c r="BF45" i="1"/>
  <c r="AA45" i="1" s="1"/>
  <c r="AA46" i="1"/>
  <c r="BF47" i="1"/>
  <c r="AA47" i="1" s="1"/>
  <c r="BF48" i="1"/>
  <c r="AA48" i="1" s="1"/>
  <c r="BF49" i="1"/>
  <c r="AA49" i="1" s="1"/>
  <c r="BF50" i="1"/>
  <c r="AA50" i="1" s="1"/>
  <c r="BF51" i="1"/>
  <c r="AA51" i="1" s="1"/>
  <c r="BF52" i="1"/>
  <c r="AA52" i="1" s="1"/>
  <c r="Y13" i="1"/>
  <c r="Y14" i="1"/>
  <c r="AT15" i="1"/>
  <c r="Y15" i="1" s="1"/>
  <c r="AT16" i="1"/>
  <c r="Y16" i="1" s="1"/>
  <c r="AT19" i="1"/>
  <c r="Y19" i="1" s="1"/>
  <c r="AT20" i="1"/>
  <c r="Y20" i="1" s="1"/>
  <c r="AT21" i="1"/>
  <c r="Y21" i="1" s="1"/>
  <c r="AT22" i="1"/>
  <c r="Y22" i="1" s="1"/>
  <c r="AT25" i="1"/>
  <c r="Y25" i="1" s="1"/>
  <c r="AT26" i="1"/>
  <c r="Y26" i="1" s="1"/>
  <c r="AT27" i="1"/>
  <c r="Y27" i="1" s="1"/>
  <c r="AT28" i="1"/>
  <c r="Y28" i="1" s="1"/>
  <c r="AT31" i="1"/>
  <c r="Y31" i="1" s="1"/>
  <c r="AT32" i="1"/>
  <c r="Y32" i="1" s="1"/>
  <c r="AT33" i="1"/>
  <c r="Y33" i="1" s="1"/>
  <c r="AT34" i="1"/>
  <c r="Y34" i="1" s="1"/>
  <c r="AT37" i="1"/>
  <c r="Y37" i="1" s="1"/>
  <c r="AT38" i="1"/>
  <c r="Y38" i="1" s="1"/>
  <c r="AT39" i="1"/>
  <c r="Y39" i="1" s="1"/>
  <c r="AT40" i="1"/>
  <c r="Y40" i="1" s="1"/>
  <c r="AT8" i="1"/>
  <c r="Y8" i="1" s="1"/>
  <c r="AT9" i="1"/>
  <c r="Y9" i="1" s="1"/>
  <c r="AT10" i="1"/>
  <c r="Y10" i="1" s="1"/>
  <c r="Y7" i="1"/>
  <c r="AH48" i="1"/>
  <c r="AI48" i="1"/>
  <c r="AL48" i="1"/>
  <c r="AH49" i="1"/>
  <c r="AI49" i="1"/>
  <c r="AH50" i="1"/>
  <c r="AI50" i="1"/>
  <c r="AL50" i="1"/>
  <c r="AH51" i="1"/>
  <c r="AI51" i="1"/>
  <c r="AH52" i="1"/>
  <c r="AI52" i="1"/>
  <c r="AL52" i="1"/>
  <c r="AH53" i="1"/>
  <c r="AI53" i="1"/>
  <c r="AH54" i="1"/>
  <c r="AI54" i="1"/>
  <c r="AL54" i="1"/>
  <c r="AH55" i="1"/>
  <c r="AI55" i="1"/>
  <c r="AH56" i="1"/>
  <c r="AI56" i="1"/>
  <c r="AL56" i="1"/>
  <c r="AH57" i="1"/>
  <c r="AI57" i="1"/>
  <c r="AH8" i="1"/>
  <c r="AI8" i="1"/>
  <c r="AM8" i="1" s="1"/>
  <c r="AH9" i="1"/>
  <c r="AI9" i="1"/>
  <c r="AM9" i="1" s="1"/>
  <c r="AH10" i="1"/>
  <c r="AI10" i="1"/>
  <c r="AH11" i="1"/>
  <c r="AI11" i="1"/>
  <c r="AM11" i="1" s="1"/>
  <c r="AH12" i="1"/>
  <c r="AI12" i="1"/>
  <c r="AM12" i="1" s="1"/>
  <c r="AH13" i="1"/>
  <c r="AI13" i="1"/>
  <c r="AM13" i="1" s="1"/>
  <c r="AH14" i="1"/>
  <c r="AI14" i="1"/>
  <c r="AM14" i="1" s="1"/>
  <c r="AH15" i="1"/>
  <c r="AI15" i="1"/>
  <c r="AM15" i="1" s="1"/>
  <c r="AH16" i="1"/>
  <c r="AI16" i="1"/>
  <c r="AM16" i="1" s="1"/>
  <c r="AH17" i="1"/>
  <c r="AI17" i="1"/>
  <c r="AM17" i="1" s="1"/>
  <c r="AH18" i="1"/>
  <c r="AI18" i="1"/>
  <c r="AM18" i="1" s="1"/>
  <c r="AH19" i="1"/>
  <c r="AI19" i="1"/>
  <c r="AM19" i="1" s="1"/>
  <c r="AH20" i="1"/>
  <c r="AI20" i="1"/>
  <c r="AM20" i="1" s="1"/>
  <c r="AH21" i="1"/>
  <c r="AI21" i="1"/>
  <c r="AH22" i="1"/>
  <c r="AI22" i="1"/>
  <c r="AM22" i="1" s="1"/>
  <c r="AH23" i="1"/>
  <c r="AI23" i="1"/>
  <c r="AH24" i="1"/>
  <c r="AI24" i="1"/>
  <c r="AM24" i="1" s="1"/>
  <c r="AH25" i="1"/>
  <c r="AI25" i="1"/>
  <c r="AH26" i="1"/>
  <c r="AI26" i="1"/>
  <c r="AM26" i="1" s="1"/>
  <c r="AH27" i="1"/>
  <c r="AI27" i="1"/>
  <c r="AH28" i="1"/>
  <c r="AI28" i="1"/>
  <c r="AM28" i="1" s="1"/>
  <c r="AH29" i="1"/>
  <c r="AI29" i="1"/>
  <c r="AL29" i="1"/>
  <c r="AH30" i="1"/>
  <c r="AI30" i="1"/>
  <c r="AL30" i="1"/>
  <c r="AH31" i="1"/>
  <c r="AI31" i="1"/>
  <c r="AL31" i="1"/>
  <c r="AH32" i="1"/>
  <c r="AI32" i="1"/>
  <c r="AL32" i="1"/>
  <c r="AH33" i="1"/>
  <c r="AI33" i="1"/>
  <c r="AL33" i="1"/>
  <c r="AH34" i="1"/>
  <c r="AI34" i="1"/>
  <c r="AL34" i="1"/>
  <c r="AH35" i="1"/>
  <c r="AI35" i="1"/>
  <c r="AL35" i="1"/>
  <c r="AH36" i="1"/>
  <c r="AI36" i="1"/>
  <c r="AL36" i="1"/>
  <c r="AH37" i="1"/>
  <c r="AI37" i="1"/>
  <c r="AL37" i="1"/>
  <c r="AH38" i="1"/>
  <c r="AI38" i="1"/>
  <c r="AL38" i="1"/>
  <c r="AH39" i="1"/>
  <c r="AI39" i="1"/>
  <c r="AL39" i="1"/>
  <c r="AH40" i="1"/>
  <c r="AI40" i="1"/>
  <c r="AL40" i="1"/>
  <c r="AH41" i="1"/>
  <c r="AI41" i="1"/>
  <c r="AL41" i="1"/>
  <c r="AH42" i="1"/>
  <c r="AI42" i="1"/>
  <c r="AL42" i="1"/>
  <c r="AH43" i="1"/>
  <c r="AI43" i="1"/>
  <c r="AL43" i="1"/>
  <c r="AH44" i="1"/>
  <c r="AI44" i="1"/>
  <c r="AL44" i="1"/>
  <c r="AH45" i="1"/>
  <c r="AI45" i="1"/>
  <c r="AL45" i="1"/>
  <c r="AH46" i="1"/>
  <c r="AI46" i="1"/>
  <c r="AL46" i="1"/>
  <c r="AH47" i="1"/>
  <c r="AI47" i="1"/>
  <c r="AL47" i="1"/>
  <c r="AC40" i="1"/>
  <c r="AS40" i="1" s="1"/>
  <c r="AC39" i="1"/>
  <c r="AS39" i="1" s="1"/>
  <c r="AC38" i="1"/>
  <c r="AS38" i="1" s="1"/>
  <c r="AC37" i="1"/>
  <c r="AS37" i="1" s="1"/>
  <c r="AC34" i="1"/>
  <c r="AS34" i="1" s="1"/>
  <c r="AC33" i="1"/>
  <c r="AS33" i="1" s="1"/>
  <c r="AC32" i="1"/>
  <c r="AS32" i="1" s="1"/>
  <c r="AC31" i="1"/>
  <c r="AS31" i="1" s="1"/>
  <c r="AC28" i="1"/>
  <c r="AS28" i="1" s="1"/>
  <c r="AC27" i="1"/>
  <c r="AS27" i="1" s="1"/>
  <c r="AC26" i="1"/>
  <c r="AS26" i="1" s="1"/>
  <c r="AC25" i="1"/>
  <c r="AS25" i="1" s="1"/>
  <c r="AC22" i="1"/>
  <c r="AS22" i="1" s="1"/>
  <c r="AC21" i="1"/>
  <c r="AS21" i="1" s="1"/>
  <c r="AC20" i="1"/>
  <c r="AS20" i="1" s="1"/>
  <c r="AC19" i="1"/>
  <c r="AS19" i="1" s="1"/>
  <c r="AC16" i="1"/>
  <c r="AS16" i="1" s="1"/>
  <c r="AC15" i="1"/>
  <c r="AS15" i="1" s="1"/>
  <c r="AC14" i="1"/>
  <c r="AS14" i="1" s="1"/>
  <c r="AC13" i="1"/>
  <c r="AS13" i="1" s="1"/>
  <c r="L7" i="1"/>
  <c r="AC8" i="1"/>
  <c r="AS8" i="1" s="1"/>
  <c r="AC9" i="1"/>
  <c r="AS9" i="1" s="1"/>
  <c r="AC10" i="1"/>
  <c r="AS10" i="1" s="1"/>
  <c r="AC7" i="1"/>
  <c r="AI7" i="1"/>
  <c r="AM7" i="1" s="1"/>
  <c r="AH7" i="1"/>
  <c r="N57" i="2"/>
  <c r="M57" i="2"/>
  <c r="N56" i="2"/>
  <c r="M56" i="2"/>
  <c r="N55" i="2"/>
  <c r="M55" i="2"/>
  <c r="N54" i="2"/>
  <c r="M54" i="2"/>
  <c r="N53" i="2"/>
  <c r="M53" i="2"/>
  <c r="N52" i="2"/>
  <c r="M52" i="2"/>
  <c r="N51" i="2"/>
  <c r="M51" i="2"/>
  <c r="N50" i="2"/>
  <c r="M50" i="2"/>
  <c r="N49" i="2"/>
  <c r="M49" i="2"/>
  <c r="N48" i="2"/>
  <c r="M48" i="2"/>
  <c r="F51" i="2"/>
  <c r="AH61" i="2" s="1"/>
  <c r="N47" i="2"/>
  <c r="M47" i="2"/>
  <c r="N46" i="2"/>
  <c r="M46" i="2"/>
  <c r="N45" i="2"/>
  <c r="M45" i="2"/>
  <c r="N44" i="2"/>
  <c r="M44" i="2"/>
  <c r="N43" i="2"/>
  <c r="M43" i="2"/>
  <c r="AG61" i="2"/>
  <c r="N42" i="2"/>
  <c r="M42" i="2"/>
  <c r="L42" i="2"/>
  <c r="N41" i="2"/>
  <c r="M41" i="2"/>
  <c r="L41" i="2"/>
  <c r="N40" i="2"/>
  <c r="M40" i="2"/>
  <c r="L40" i="2"/>
  <c r="N39" i="2"/>
  <c r="M39" i="2"/>
  <c r="L39" i="2"/>
  <c r="N38" i="2"/>
  <c r="M38" i="2"/>
  <c r="L38" i="2"/>
  <c r="N37" i="2"/>
  <c r="M37" i="2"/>
  <c r="L37" i="2"/>
  <c r="N36" i="2"/>
  <c r="M36" i="2"/>
  <c r="L36" i="2"/>
  <c r="N35" i="2"/>
  <c r="M35" i="2"/>
  <c r="L35" i="2"/>
  <c r="N34" i="2"/>
  <c r="M34" i="2"/>
  <c r="L34" i="2"/>
  <c r="N33" i="2"/>
  <c r="M33" i="2"/>
  <c r="L33" i="2"/>
  <c r="N32" i="2"/>
  <c r="M32" i="2"/>
  <c r="L32" i="2"/>
  <c r="N31" i="2"/>
  <c r="M31" i="2"/>
  <c r="L31" i="2"/>
  <c r="N30" i="2"/>
  <c r="M30" i="2"/>
  <c r="L30" i="2"/>
  <c r="N29" i="2"/>
  <c r="M29" i="2"/>
  <c r="L29" i="2"/>
  <c r="N28" i="2"/>
  <c r="M28" i="2"/>
  <c r="L28" i="2"/>
  <c r="N27" i="2"/>
  <c r="M27" i="2"/>
  <c r="L27" i="2"/>
  <c r="N26" i="2"/>
  <c r="M26" i="2"/>
  <c r="L26" i="2"/>
  <c r="N25" i="2"/>
  <c r="M25" i="2"/>
  <c r="L25" i="2"/>
  <c r="N24" i="2"/>
  <c r="M24" i="2"/>
  <c r="L24" i="2"/>
  <c r="N23" i="2"/>
  <c r="M23" i="2"/>
  <c r="L23" i="2"/>
  <c r="N22" i="2"/>
  <c r="M22" i="2"/>
  <c r="L22" i="2"/>
  <c r="N21" i="2"/>
  <c r="M21" i="2"/>
  <c r="L21" i="2"/>
  <c r="N20" i="2"/>
  <c r="M20" i="2"/>
  <c r="L20" i="2"/>
  <c r="N19" i="2"/>
  <c r="M19" i="2"/>
  <c r="L19" i="2"/>
  <c r="N18" i="2"/>
  <c r="M18" i="2"/>
  <c r="T39" i="2" s="1"/>
  <c r="L18" i="2"/>
  <c r="N17" i="2"/>
  <c r="M17" i="2"/>
  <c r="T37" i="2" s="1"/>
  <c r="L17" i="2"/>
  <c r="N16" i="2"/>
  <c r="M16" i="2"/>
  <c r="T33" i="2" s="1"/>
  <c r="L16" i="2"/>
  <c r="N15" i="2"/>
  <c r="M15" i="2"/>
  <c r="T31" i="2" s="1"/>
  <c r="L15" i="2"/>
  <c r="N14" i="2"/>
  <c r="M14" i="2"/>
  <c r="T27" i="2" s="1"/>
  <c r="L14" i="2"/>
  <c r="N13" i="2"/>
  <c r="T22" i="2" s="1"/>
  <c r="M13" i="2"/>
  <c r="T21" i="2" s="1"/>
  <c r="L13" i="2"/>
  <c r="N12" i="2"/>
  <c r="M12" i="2"/>
  <c r="T19" i="2" s="1"/>
  <c r="L12" i="2"/>
  <c r="N11" i="2"/>
  <c r="M11" i="2"/>
  <c r="T25" i="2" s="1"/>
  <c r="L11" i="2"/>
  <c r="N10" i="2"/>
  <c r="M10" i="2"/>
  <c r="T15" i="2" s="1"/>
  <c r="L10" i="2"/>
  <c r="N9" i="2"/>
  <c r="M9" i="2"/>
  <c r="T13" i="2" s="1"/>
  <c r="L9" i="2"/>
  <c r="N8" i="2"/>
  <c r="M8" i="2"/>
  <c r="L8" i="2"/>
  <c r="N7" i="2"/>
  <c r="T8" i="2" s="1"/>
  <c r="M7" i="2"/>
  <c r="T7" i="2" s="1"/>
  <c r="L7" i="2"/>
  <c r="AF8" i="1"/>
  <c r="AG8" i="1"/>
  <c r="AF9" i="1"/>
  <c r="T13" i="1" s="1"/>
  <c r="AG9" i="1"/>
  <c r="T14" i="1" s="1"/>
  <c r="AF10" i="1"/>
  <c r="T15" i="1" s="1"/>
  <c r="AG10" i="1"/>
  <c r="T16" i="1" s="1"/>
  <c r="AF11" i="1"/>
  <c r="T25" i="1" s="1"/>
  <c r="AG11" i="1"/>
  <c r="T26" i="1" s="1"/>
  <c r="AF12" i="1"/>
  <c r="T19" i="1" s="1"/>
  <c r="AG12" i="1"/>
  <c r="AF13" i="1"/>
  <c r="T21" i="1" s="1"/>
  <c r="AG13" i="1"/>
  <c r="T22" i="1" s="1"/>
  <c r="AF14" i="1"/>
  <c r="T27" i="1" s="1"/>
  <c r="AG14" i="1"/>
  <c r="T28" i="1" s="1"/>
  <c r="AF15" i="1"/>
  <c r="T31" i="1" s="1"/>
  <c r="AG15" i="1"/>
  <c r="T32" i="1" s="1"/>
  <c r="AF16" i="1"/>
  <c r="T33" i="1" s="1"/>
  <c r="AG16" i="1"/>
  <c r="T34" i="1" s="1"/>
  <c r="AF17" i="1"/>
  <c r="T37" i="1" s="1"/>
  <c r="AG17" i="1"/>
  <c r="AF18" i="1"/>
  <c r="AG18" i="1"/>
  <c r="AF19" i="1"/>
  <c r="AG19" i="1"/>
  <c r="AF20" i="1"/>
  <c r="AG20" i="1"/>
  <c r="AF21" i="1"/>
  <c r="AG21" i="1"/>
  <c r="AF22" i="1"/>
  <c r="AG22" i="1"/>
  <c r="AF23" i="1"/>
  <c r="AG23" i="1"/>
  <c r="AF24" i="1"/>
  <c r="AG24" i="1"/>
  <c r="AF25" i="1"/>
  <c r="AG25" i="1"/>
  <c r="AF26" i="1"/>
  <c r="AG26" i="1"/>
  <c r="AF27" i="1"/>
  <c r="AG27" i="1"/>
  <c r="AF28" i="1"/>
  <c r="AG28" i="1"/>
  <c r="AF29" i="1"/>
  <c r="AG29" i="1"/>
  <c r="AF30" i="1"/>
  <c r="AG30" i="1"/>
  <c r="AF31" i="1"/>
  <c r="AG31" i="1"/>
  <c r="AF32" i="1"/>
  <c r="AG32" i="1"/>
  <c r="AF33" i="1"/>
  <c r="AG33" i="1"/>
  <c r="AF34" i="1"/>
  <c r="AG34" i="1"/>
  <c r="AF35" i="1"/>
  <c r="AG35" i="1"/>
  <c r="AF36" i="1"/>
  <c r="AG36" i="1"/>
  <c r="AF37" i="1"/>
  <c r="AG37" i="1"/>
  <c r="AF38" i="1"/>
  <c r="AG38" i="1"/>
  <c r="AF39" i="1"/>
  <c r="AG39" i="1"/>
  <c r="AF40" i="1"/>
  <c r="AG40" i="1"/>
  <c r="AF41" i="1"/>
  <c r="AG41" i="1"/>
  <c r="AF42" i="1"/>
  <c r="AG42" i="1"/>
  <c r="AG43" i="1"/>
  <c r="AF44" i="1"/>
  <c r="AG44" i="1"/>
  <c r="AG45" i="1"/>
  <c r="AG46" i="1"/>
  <c r="AG47" i="1"/>
  <c r="AG48" i="1"/>
  <c r="AG49" i="1"/>
  <c r="AG50" i="1"/>
  <c r="AG51" i="1"/>
  <c r="AF52" i="1"/>
  <c r="AG52" i="1"/>
  <c r="AF53" i="1"/>
  <c r="AG53" i="1"/>
  <c r="AF54" i="1"/>
  <c r="AG54" i="1"/>
  <c r="AF55" i="1"/>
  <c r="AG55" i="1"/>
  <c r="AF56" i="1"/>
  <c r="AG56" i="1"/>
  <c r="AF57" i="1"/>
  <c r="AG57" i="1"/>
  <c r="Q40" i="1"/>
  <c r="Q39" i="1"/>
  <c r="Q38" i="1"/>
  <c r="Q37" i="1"/>
  <c r="Q34" i="1"/>
  <c r="Q33" i="1"/>
  <c r="Q32" i="1"/>
  <c r="Q31" i="1"/>
  <c r="Q28" i="1"/>
  <c r="Q27" i="1"/>
  <c r="Q26" i="1"/>
  <c r="Q25" i="1"/>
  <c r="Q22" i="1"/>
  <c r="Q21" i="1"/>
  <c r="Q20" i="1"/>
  <c r="Q19" i="1"/>
  <c r="Q16" i="1"/>
  <c r="Q15" i="1"/>
  <c r="Q14" i="1"/>
  <c r="Q13" i="1"/>
  <c r="Q9" i="1"/>
  <c r="Q10" i="1"/>
  <c r="AG7" i="1"/>
  <c r="T8" i="1" s="1"/>
  <c r="AF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T20" i="1" l="1"/>
  <c r="T9" i="1"/>
  <c r="T10" i="1"/>
  <c r="T7" i="1"/>
  <c r="T40" i="1"/>
  <c r="T38" i="1"/>
  <c r="T39" i="1"/>
  <c r="T14" i="2"/>
  <c r="T9" i="2"/>
  <c r="T34" i="2"/>
  <c r="T38" i="2"/>
  <c r="T10" i="2"/>
  <c r="T20" i="2"/>
  <c r="T16" i="2"/>
  <c r="T32" i="2"/>
  <c r="T26" i="2"/>
  <c r="T28" i="2"/>
  <c r="T40" i="2"/>
  <c r="R7" i="2"/>
  <c r="S7" i="2" s="1"/>
  <c r="R9" i="2"/>
  <c r="S9" i="2" s="1"/>
  <c r="R13" i="2"/>
  <c r="S13" i="2" s="1"/>
  <c r="R15" i="2"/>
  <c r="S15" i="2" s="1"/>
  <c r="R19" i="2"/>
  <c r="S19" i="2" s="1"/>
  <c r="R21" i="2"/>
  <c r="S21" i="2" s="1"/>
  <c r="R25" i="2"/>
  <c r="S25" i="2" s="1"/>
  <c r="R27" i="2"/>
  <c r="S27" i="2" s="1"/>
  <c r="R31" i="2"/>
  <c r="S31" i="2" s="1"/>
  <c r="R33" i="2"/>
  <c r="S33" i="2" s="1"/>
  <c r="R37" i="2"/>
  <c r="S37" i="2" s="1"/>
  <c r="R39" i="2"/>
  <c r="S39" i="2" s="1"/>
  <c r="R8" i="2"/>
  <c r="S8" i="2" s="1"/>
  <c r="R10" i="2"/>
  <c r="S10" i="2" s="1"/>
  <c r="R14" i="2"/>
  <c r="S14" i="2" s="1"/>
  <c r="R16" i="2"/>
  <c r="S16" i="2" s="1"/>
  <c r="R20" i="2"/>
  <c r="S20" i="2" s="1"/>
  <c r="R22" i="2"/>
  <c r="S22" i="2" s="1"/>
  <c r="R26" i="2"/>
  <c r="S26" i="2" s="1"/>
  <c r="R28" i="2"/>
  <c r="S28" i="2" s="1"/>
  <c r="R32" i="2"/>
  <c r="S32" i="2" s="1"/>
  <c r="R34" i="2"/>
  <c r="S34" i="2" s="1"/>
  <c r="R38" i="2"/>
  <c r="S38" i="2" s="1"/>
  <c r="R40" i="2"/>
  <c r="S40" i="2" s="1"/>
  <c r="AQ61" i="1"/>
  <c r="AP65" i="1"/>
  <c r="AP66" i="1"/>
  <c r="AP63" i="1"/>
  <c r="AP67" i="1"/>
  <c r="AP64" i="1"/>
  <c r="AP68" i="1"/>
  <c r="AP61" i="1"/>
  <c r="AL71" i="1" s="1"/>
  <c r="R3" i="1"/>
  <c r="AN61" i="1"/>
  <c r="AN68" i="1"/>
  <c r="AL61" i="1"/>
  <c r="AL75" i="1"/>
  <c r="AL74" i="1"/>
  <c r="AA43" i="1"/>
  <c r="AS7" i="1"/>
  <c r="AK57" i="1"/>
  <c r="X57" i="1" s="1"/>
  <c r="AK53" i="1"/>
  <c r="X53" i="1" s="1"/>
  <c r="BC60" i="1"/>
  <c r="BC59" i="1"/>
  <c r="BA61" i="1"/>
  <c r="BC61" i="1"/>
  <c r="BA60" i="1"/>
  <c r="AZ60" i="1" s="1"/>
  <c r="Z60" i="1" s="1"/>
  <c r="BB59" i="1"/>
  <c r="AZ59" i="1" s="1"/>
  <c r="Z59" i="1" s="1"/>
  <c r="AK23" i="1"/>
  <c r="X23" i="1" s="1"/>
  <c r="AK55" i="1"/>
  <c r="X55" i="1" s="1"/>
  <c r="AK51" i="1"/>
  <c r="X51" i="1" s="1"/>
  <c r="AZ62" i="1"/>
  <c r="Z62" i="1" s="1"/>
  <c r="AK21" i="1"/>
  <c r="X21" i="1" s="1"/>
  <c r="AM57" i="1"/>
  <c r="AM55" i="1"/>
  <c r="AM53" i="1"/>
  <c r="AM51" i="1"/>
  <c r="AK49" i="1"/>
  <c r="X49" i="1" s="1"/>
  <c r="AO57" i="1"/>
  <c r="AO55" i="1"/>
  <c r="AO53" i="1"/>
  <c r="AO51" i="1"/>
  <c r="AO49" i="1"/>
  <c r="AK27" i="1"/>
  <c r="X27" i="1" s="1"/>
  <c r="AM21" i="1"/>
  <c r="AM49" i="1"/>
  <c r="AK25" i="1"/>
  <c r="X25" i="1" s="1"/>
  <c r="AM27" i="1"/>
  <c r="AM25" i="1"/>
  <c r="AM23" i="1"/>
  <c r="AK19" i="1"/>
  <c r="X19" i="1" s="1"/>
  <c r="AK17" i="1"/>
  <c r="X17" i="1" s="1"/>
  <c r="AK15" i="1"/>
  <c r="X15" i="1" s="1"/>
  <c r="AK11" i="1"/>
  <c r="X11" i="1" s="1"/>
  <c r="AQ8" i="1"/>
  <c r="AP47" i="1"/>
  <c r="AP45" i="1"/>
  <c r="AP43" i="1"/>
  <c r="AP41" i="1"/>
  <c r="AP39" i="1"/>
  <c r="AP37" i="1"/>
  <c r="AP35" i="1"/>
  <c r="AP33" i="1"/>
  <c r="AP31" i="1"/>
  <c r="AP29" i="1"/>
  <c r="AK28" i="1"/>
  <c r="X28" i="1" s="1"/>
  <c r="AO27" i="1"/>
  <c r="AQ27" i="1"/>
  <c r="AK26" i="1"/>
  <c r="X26" i="1" s="1"/>
  <c r="AO25" i="1"/>
  <c r="AQ25" i="1"/>
  <c r="AK24" i="1"/>
  <c r="X24" i="1" s="1"/>
  <c r="AO23" i="1"/>
  <c r="AQ23" i="1"/>
  <c r="AK22" i="1"/>
  <c r="X22" i="1" s="1"/>
  <c r="AO21" i="1"/>
  <c r="AQ21" i="1"/>
  <c r="AO19" i="1"/>
  <c r="AQ19" i="1"/>
  <c r="AK18" i="1"/>
  <c r="X18" i="1" s="1"/>
  <c r="AO17" i="1"/>
  <c r="AQ17" i="1"/>
  <c r="AK16" i="1"/>
  <c r="X16" i="1" s="1"/>
  <c r="AO15" i="1"/>
  <c r="AQ15" i="1"/>
  <c r="AK14" i="1"/>
  <c r="X14" i="1" s="1"/>
  <c r="AO13" i="1"/>
  <c r="AQ13" i="1"/>
  <c r="AK12" i="1"/>
  <c r="X12" i="1" s="1"/>
  <c r="AO11" i="1"/>
  <c r="AQ11" i="1"/>
  <c r="BF54" i="1"/>
  <c r="AA54" i="1" s="1"/>
  <c r="AO7" i="1"/>
  <c r="AP46" i="1"/>
  <c r="AP44" i="1"/>
  <c r="AP42" i="1"/>
  <c r="AP40" i="1"/>
  <c r="AP38" i="1"/>
  <c r="AP36" i="1"/>
  <c r="AP34" i="1"/>
  <c r="AP32" i="1"/>
  <c r="AP30" i="1"/>
  <c r="AO28" i="1"/>
  <c r="AQ28" i="1"/>
  <c r="AO26" i="1"/>
  <c r="AQ26" i="1"/>
  <c r="AO24" i="1"/>
  <c r="AQ24" i="1"/>
  <c r="AO22" i="1"/>
  <c r="AQ22" i="1"/>
  <c r="AO20" i="1"/>
  <c r="AQ20" i="1"/>
  <c r="AO18" i="1"/>
  <c r="AQ18" i="1"/>
  <c r="AO16" i="1"/>
  <c r="AQ16" i="1"/>
  <c r="AO14" i="1"/>
  <c r="AQ14" i="1"/>
  <c r="AO12" i="1"/>
  <c r="AQ12" i="1"/>
  <c r="AO10" i="1"/>
  <c r="AQ9" i="1"/>
  <c r="AP56" i="1"/>
  <c r="AP54" i="1"/>
  <c r="AP52" i="1"/>
  <c r="AP50" i="1"/>
  <c r="AP48" i="1"/>
  <c r="AL7" i="1"/>
  <c r="AN7" i="1" s="1"/>
  <c r="AK47" i="1"/>
  <c r="X47" i="1" s="1"/>
  <c r="AK46" i="1"/>
  <c r="X46" i="1" s="1"/>
  <c r="AK45" i="1"/>
  <c r="X45" i="1" s="1"/>
  <c r="AK42" i="1"/>
  <c r="X42" i="1" s="1"/>
  <c r="AK41" i="1"/>
  <c r="X41" i="1" s="1"/>
  <c r="AK40" i="1"/>
  <c r="X40" i="1" s="1"/>
  <c r="AK39" i="1"/>
  <c r="X39" i="1" s="1"/>
  <c r="AK38" i="1"/>
  <c r="X38" i="1" s="1"/>
  <c r="AL57" i="1"/>
  <c r="AN57" i="1" s="1"/>
  <c r="AQ57" i="1"/>
  <c r="AL55" i="1"/>
  <c r="AQ55" i="1"/>
  <c r="AL53" i="1"/>
  <c r="AN53" i="1" s="1"/>
  <c r="AQ53" i="1"/>
  <c r="AL51" i="1"/>
  <c r="AQ51" i="1"/>
  <c r="AL49" i="1"/>
  <c r="AN49" i="1" s="1"/>
  <c r="AQ49" i="1"/>
  <c r="AM10" i="1"/>
  <c r="AQ10" i="1"/>
  <c r="AK9" i="1"/>
  <c r="X9" i="1" s="1"/>
  <c r="AO9" i="1"/>
  <c r="AK8" i="1"/>
  <c r="AO8" i="1"/>
  <c r="AK37" i="1"/>
  <c r="X37" i="1" s="1"/>
  <c r="AK36" i="1"/>
  <c r="X36" i="1" s="1"/>
  <c r="AK35" i="1"/>
  <c r="X35" i="1" s="1"/>
  <c r="AK34" i="1"/>
  <c r="X34" i="1" s="1"/>
  <c r="AK33" i="1"/>
  <c r="X33" i="1" s="1"/>
  <c r="AK32" i="1"/>
  <c r="X32" i="1" s="1"/>
  <c r="AK31" i="1"/>
  <c r="X31" i="1" s="1"/>
  <c r="AK30" i="1"/>
  <c r="X30" i="1" s="1"/>
  <c r="AK29" i="1"/>
  <c r="X29" i="1" s="1"/>
  <c r="AK56" i="1"/>
  <c r="X56" i="1" s="1"/>
  <c r="AK54" i="1"/>
  <c r="X54" i="1" s="1"/>
  <c r="AK52" i="1"/>
  <c r="X52" i="1" s="1"/>
  <c r="AK50" i="1"/>
  <c r="X50" i="1" s="1"/>
  <c r="AP57" i="1"/>
  <c r="AQ56" i="1"/>
  <c r="AO56" i="1"/>
  <c r="AM56" i="1"/>
  <c r="AN56" i="1" s="1"/>
  <c r="AP55" i="1"/>
  <c r="AQ54" i="1"/>
  <c r="AO54" i="1"/>
  <c r="AM54" i="1"/>
  <c r="AN54" i="1" s="1"/>
  <c r="AP53" i="1"/>
  <c r="AQ52" i="1"/>
  <c r="AO52" i="1"/>
  <c r="AM52" i="1"/>
  <c r="AN52" i="1" s="1"/>
  <c r="AP51" i="1"/>
  <c r="AQ50" i="1"/>
  <c r="AO50" i="1"/>
  <c r="AM50" i="1"/>
  <c r="AN50" i="1" s="1"/>
  <c r="AP49" i="1"/>
  <c r="AQ48" i="1"/>
  <c r="AO48" i="1"/>
  <c r="AM48" i="1"/>
  <c r="AN48" i="1" s="1"/>
  <c r="AQ47" i="1"/>
  <c r="AO47" i="1"/>
  <c r="AM47" i="1"/>
  <c r="AN47" i="1" s="1"/>
  <c r="AQ46" i="1"/>
  <c r="AO46" i="1"/>
  <c r="AM46" i="1"/>
  <c r="AN46" i="1" s="1"/>
  <c r="AQ45" i="1"/>
  <c r="AO45" i="1"/>
  <c r="AM45" i="1"/>
  <c r="AN45" i="1" s="1"/>
  <c r="AQ44" i="1"/>
  <c r="AO44" i="1"/>
  <c r="AM44" i="1"/>
  <c r="AN44" i="1" s="1"/>
  <c r="AQ43" i="1"/>
  <c r="AO43" i="1"/>
  <c r="AK43" i="1" s="1"/>
  <c r="X43" i="1" s="1"/>
  <c r="AM43" i="1"/>
  <c r="AN43" i="1" s="1"/>
  <c r="AQ42" i="1"/>
  <c r="AO42" i="1"/>
  <c r="AM42" i="1"/>
  <c r="AN42" i="1" s="1"/>
  <c r="AQ41" i="1"/>
  <c r="AO41" i="1"/>
  <c r="AM41" i="1"/>
  <c r="AN41" i="1" s="1"/>
  <c r="AQ40" i="1"/>
  <c r="AO40" i="1"/>
  <c r="AM40" i="1"/>
  <c r="AN40" i="1" s="1"/>
  <c r="AQ39" i="1"/>
  <c r="AO39" i="1"/>
  <c r="AM39" i="1"/>
  <c r="AN39" i="1" s="1"/>
  <c r="AQ38" i="1"/>
  <c r="AO38" i="1"/>
  <c r="AM38" i="1"/>
  <c r="AN38" i="1" s="1"/>
  <c r="AQ37" i="1"/>
  <c r="AO37" i="1"/>
  <c r="AM37" i="1"/>
  <c r="AN37" i="1" s="1"/>
  <c r="AQ36" i="1"/>
  <c r="AO36" i="1"/>
  <c r="AM36" i="1"/>
  <c r="AN36" i="1" s="1"/>
  <c r="AQ35" i="1"/>
  <c r="AO35" i="1"/>
  <c r="AM35" i="1"/>
  <c r="AN35" i="1" s="1"/>
  <c r="AQ34" i="1"/>
  <c r="AO34" i="1"/>
  <c r="AM34" i="1"/>
  <c r="AN34" i="1" s="1"/>
  <c r="AQ33" i="1"/>
  <c r="AO33" i="1"/>
  <c r="AM33" i="1"/>
  <c r="AN33" i="1" s="1"/>
  <c r="AQ32" i="1"/>
  <c r="AO32" i="1"/>
  <c r="AM32" i="1"/>
  <c r="AN32" i="1" s="1"/>
  <c r="AQ31" i="1"/>
  <c r="AO31" i="1"/>
  <c r="AM31" i="1"/>
  <c r="AN31" i="1" s="1"/>
  <c r="AQ30" i="1"/>
  <c r="AO30" i="1"/>
  <c r="AM30" i="1"/>
  <c r="AN30" i="1" s="1"/>
  <c r="AQ29" i="1"/>
  <c r="AO29" i="1"/>
  <c r="AM29" i="1"/>
  <c r="AN29" i="1" s="1"/>
  <c r="AL28" i="1"/>
  <c r="AN28" i="1" s="1"/>
  <c r="AP28" i="1"/>
  <c r="AL27" i="1"/>
  <c r="AP27" i="1"/>
  <c r="AL26" i="1"/>
  <c r="AN26" i="1" s="1"/>
  <c r="AP26" i="1"/>
  <c r="AL25" i="1"/>
  <c r="AP25" i="1"/>
  <c r="AL24" i="1"/>
  <c r="AN24" i="1" s="1"/>
  <c r="AP24" i="1"/>
  <c r="AL23" i="1"/>
  <c r="AP23" i="1"/>
  <c r="AL22" i="1"/>
  <c r="AN22" i="1" s="1"/>
  <c r="AP22" i="1"/>
  <c r="AL21" i="1"/>
  <c r="AP21" i="1"/>
  <c r="AL20" i="1"/>
  <c r="AN20" i="1" s="1"/>
  <c r="AP20" i="1"/>
  <c r="AL19" i="1"/>
  <c r="AN19" i="1" s="1"/>
  <c r="AP19" i="1"/>
  <c r="AL18" i="1"/>
  <c r="AN18" i="1" s="1"/>
  <c r="AP18" i="1"/>
  <c r="AL17" i="1"/>
  <c r="AN17" i="1" s="1"/>
  <c r="AP17" i="1"/>
  <c r="AL16" i="1"/>
  <c r="AN16" i="1" s="1"/>
  <c r="AP16" i="1"/>
  <c r="AL15" i="1"/>
  <c r="AN15" i="1" s="1"/>
  <c r="AP15" i="1"/>
  <c r="AL14" i="1"/>
  <c r="AN14" i="1" s="1"/>
  <c r="AP14" i="1"/>
  <c r="AL13" i="1"/>
  <c r="AN13" i="1" s="1"/>
  <c r="AP13" i="1"/>
  <c r="AL12" i="1"/>
  <c r="AN12" i="1" s="1"/>
  <c r="AP12" i="1"/>
  <c r="AL11" i="1"/>
  <c r="AN11" i="1" s="1"/>
  <c r="AP11" i="1"/>
  <c r="AL10" i="1"/>
  <c r="AP10" i="1"/>
  <c r="AL9" i="1"/>
  <c r="AN9" i="1" s="1"/>
  <c r="AP9" i="1"/>
  <c r="AL8" i="1"/>
  <c r="AN8" i="1" s="1"/>
  <c r="AP8" i="1"/>
  <c r="AP7" i="1"/>
  <c r="AQ7" i="1"/>
  <c r="AK20" i="1" l="1"/>
  <c r="X20" i="1" s="1"/>
  <c r="AL76" i="1"/>
  <c r="AL77" i="1" s="1"/>
  <c r="Y50" i="1" s="1"/>
  <c r="AL72" i="1"/>
  <c r="AK13" i="1"/>
  <c r="X13" i="1" s="1"/>
  <c r="AK44" i="1"/>
  <c r="X44" i="1" s="1"/>
  <c r="AN21" i="1"/>
  <c r="AN23" i="1"/>
  <c r="AN27" i="1"/>
  <c r="AN51" i="1"/>
  <c r="AN55" i="1"/>
  <c r="AN77" i="1"/>
  <c r="Y54" i="1" s="1"/>
  <c r="U3" i="1"/>
  <c r="AK48" i="1"/>
  <c r="X48" i="1" s="1"/>
  <c r="R14" i="1"/>
  <c r="S14" i="1" s="1"/>
  <c r="R40" i="1"/>
  <c r="S40" i="1" s="1"/>
  <c r="R39" i="1"/>
  <c r="S39" i="1" s="1"/>
  <c r="R38" i="1"/>
  <c r="S38" i="1" s="1"/>
  <c r="R37" i="1"/>
  <c r="S37" i="1" s="1"/>
  <c r="R34" i="1"/>
  <c r="S34" i="1" s="1"/>
  <c r="R33" i="1"/>
  <c r="S33" i="1" s="1"/>
  <c r="R32" i="1"/>
  <c r="S32" i="1" s="1"/>
  <c r="R31" i="1"/>
  <c r="S31" i="1" s="1"/>
  <c r="R28" i="1"/>
  <c r="S28" i="1" s="1"/>
  <c r="R27" i="1"/>
  <c r="S27" i="1" s="1"/>
  <c r="R26" i="1"/>
  <c r="S26" i="1" s="1"/>
  <c r="R25" i="1"/>
  <c r="S25" i="1" s="1"/>
  <c r="R22" i="1"/>
  <c r="S22" i="1" s="1"/>
  <c r="R21" i="1"/>
  <c r="S21" i="1" s="1"/>
  <c r="R20" i="1"/>
  <c r="S20" i="1" s="1"/>
  <c r="R19" i="1"/>
  <c r="S19" i="1" s="1"/>
  <c r="R8" i="1"/>
  <c r="R10" i="1"/>
  <c r="R16" i="1"/>
  <c r="S16" i="1" s="1"/>
  <c r="R15" i="1"/>
  <c r="S15" i="1" s="1"/>
  <c r="R13" i="1"/>
  <c r="S13" i="1" s="1"/>
  <c r="R9" i="1"/>
  <c r="R7" i="1"/>
  <c r="S7" i="1" s="1"/>
  <c r="AN25" i="1"/>
  <c r="AZ61" i="1"/>
  <c r="Z61" i="1" s="1"/>
  <c r="S3" i="1" s="1"/>
  <c r="X8" i="1"/>
  <c r="AN10" i="1"/>
  <c r="AK10" i="1" s="1"/>
  <c r="X10" i="1" s="1"/>
  <c r="AK7" i="1"/>
  <c r="T3" i="1" l="1"/>
  <c r="X7" i="1"/>
  <c r="Q3" i="1" s="1"/>
  <c r="V3" i="1"/>
  <c r="AZ63" i="1"/>
  <c r="P3" i="1" l="1"/>
  <c r="S10" i="1"/>
  <c r="S8" i="1"/>
  <c r="S9" i="1"/>
</calcChain>
</file>

<file path=xl/sharedStrings.xml><?xml version="1.0" encoding="utf-8"?>
<sst xmlns="http://schemas.openxmlformats.org/spreadsheetml/2006/main" count="1135" uniqueCount="246">
  <si>
    <t>A</t>
  </si>
  <si>
    <t>Rome</t>
  </si>
  <si>
    <t>Turkije</t>
  </si>
  <si>
    <t>Italië</t>
  </si>
  <si>
    <t>Baku</t>
  </si>
  <si>
    <t>Wales</t>
  </si>
  <si>
    <t>Zwitserland</t>
  </si>
  <si>
    <t>B</t>
  </si>
  <si>
    <t>Kopenhagen</t>
  </si>
  <si>
    <t>Denemarken</t>
  </si>
  <si>
    <t>Finland</t>
  </si>
  <si>
    <t>Sint-Petersburg</t>
  </si>
  <si>
    <t>België</t>
  </si>
  <si>
    <t>Rusland</t>
  </si>
  <si>
    <t>D</t>
  </si>
  <si>
    <t>Londen</t>
  </si>
  <si>
    <t>Engeland</t>
  </si>
  <si>
    <t>Kroatië</t>
  </si>
  <si>
    <t>C</t>
  </si>
  <si>
    <t>Boekarest</t>
  </si>
  <si>
    <t>Oostenrijk</t>
  </si>
  <si>
    <t>Amsterdam</t>
  </si>
  <si>
    <t>Nederland</t>
  </si>
  <si>
    <t>Oekraïne</t>
  </si>
  <si>
    <t>Glasgow</t>
  </si>
  <si>
    <t>Tsjechië</t>
  </si>
  <si>
    <t>E</t>
  </si>
  <si>
    <t>Dublin</t>
  </si>
  <si>
    <t>Polen</t>
  </si>
  <si>
    <t>Bilbao</t>
  </si>
  <si>
    <t>Spanje</t>
  </si>
  <si>
    <t>Zweden</t>
  </si>
  <si>
    <t>F</t>
  </si>
  <si>
    <t>Budapest</t>
  </si>
  <si>
    <t>Portugal</t>
  </si>
  <si>
    <t>München</t>
  </si>
  <si>
    <t>Frankrijk</t>
  </si>
  <si>
    <t>Duitsland</t>
  </si>
  <si>
    <t>Achtste finale</t>
  </si>
  <si>
    <t>Kwartfinale</t>
  </si>
  <si>
    <t>Halve finale</t>
  </si>
  <si>
    <t>Finale</t>
  </si>
  <si>
    <t>Nr</t>
  </si>
  <si>
    <t>Datum</t>
  </si>
  <si>
    <t>Poule</t>
  </si>
  <si>
    <t>Speelstad</t>
  </si>
  <si>
    <t>Thuis</t>
  </si>
  <si>
    <t>Uit</t>
  </si>
  <si>
    <t>Noord-Macedonie</t>
  </si>
  <si>
    <t>Schotland</t>
  </si>
  <si>
    <t>Slowakije</t>
  </si>
  <si>
    <t>Hongarije</t>
  </si>
  <si>
    <t>-</t>
  </si>
  <si>
    <t>Eindstand</t>
  </si>
  <si>
    <t>Toto</t>
  </si>
  <si>
    <t>Poule A</t>
  </si>
  <si>
    <t>Voor</t>
  </si>
  <si>
    <t>Tegen</t>
  </si>
  <si>
    <t>Saldo</t>
  </si>
  <si>
    <t>Punten</t>
  </si>
  <si>
    <t>Plaats</t>
  </si>
  <si>
    <t>A1</t>
  </si>
  <si>
    <t>A4</t>
  </si>
  <si>
    <t>A2</t>
  </si>
  <si>
    <t>A3</t>
  </si>
  <si>
    <t>Pnt</t>
  </si>
  <si>
    <t>Poule B</t>
  </si>
  <si>
    <t>Poule C</t>
  </si>
  <si>
    <t>Poule D</t>
  </si>
  <si>
    <t>Poule E</t>
  </si>
  <si>
    <t>Poule F</t>
  </si>
  <si>
    <t>Wedstrijden</t>
  </si>
  <si>
    <t>Poules</t>
  </si>
  <si>
    <t>Score</t>
  </si>
  <si>
    <t>Uitslag</t>
  </si>
  <si>
    <t>1e</t>
  </si>
  <si>
    <t>2e</t>
  </si>
  <si>
    <t>beide</t>
  </si>
  <si>
    <t>1e&gt;2e</t>
  </si>
  <si>
    <t>1e&lt;2e</t>
  </si>
  <si>
    <t>1e=2e</t>
  </si>
  <si>
    <t>B1</t>
  </si>
  <si>
    <t>B2</t>
  </si>
  <si>
    <t>B3</t>
  </si>
  <si>
    <t>B4</t>
  </si>
  <si>
    <t>C1</t>
  </si>
  <si>
    <t>C2</t>
  </si>
  <si>
    <t>C3</t>
  </si>
  <si>
    <t>C4</t>
  </si>
  <si>
    <t>D1</t>
  </si>
  <si>
    <t>D2</t>
  </si>
  <si>
    <t>D3</t>
  </si>
  <si>
    <t>D4</t>
  </si>
  <si>
    <t>E1</t>
  </si>
  <si>
    <t>F1</t>
  </si>
  <si>
    <t>E2</t>
  </si>
  <si>
    <t>E3</t>
  </si>
  <si>
    <t>E4</t>
  </si>
  <si>
    <t>F2</t>
  </si>
  <si>
    <t>F3</t>
  </si>
  <si>
    <t>F4</t>
  </si>
  <si>
    <t>Noem de basis opstelling tegen Noord-Macedonie</t>
  </si>
  <si>
    <t>(k)</t>
  </si>
  <si>
    <t>Jasper Cillessen</t>
  </si>
  <si>
    <t>Tim Krul</t>
  </si>
  <si>
    <t>Maarten Stekelenburg</t>
  </si>
  <si>
    <t>(v)</t>
  </si>
  <si>
    <t>Daley Blind</t>
  </si>
  <si>
    <t>(m)</t>
  </si>
  <si>
    <t>Davy Klaassen</t>
  </si>
  <si>
    <t>Georginio Wijnaldum</t>
  </si>
  <si>
    <t>(a)</t>
  </si>
  <si>
    <t>Memphis Depay</t>
  </si>
  <si>
    <t>Quincy Promes</t>
  </si>
  <si>
    <t>Elftal</t>
  </si>
  <si>
    <t>Bonus:</t>
  </si>
  <si>
    <t>Europees kampioen</t>
  </si>
  <si>
    <t>andere halve finalisten</t>
  </si>
  <si>
    <t>Top 4</t>
  </si>
  <si>
    <t>3 of 4</t>
  </si>
  <si>
    <t>Naam:</t>
  </si>
  <si>
    <t>Naam</t>
  </si>
  <si>
    <t>Totaal</t>
  </si>
  <si>
    <t>Wedstrijd</t>
  </si>
  <si>
    <t>poule</t>
  </si>
  <si>
    <t>Top4</t>
  </si>
  <si>
    <t>wedstrijden</t>
  </si>
  <si>
    <t>score</t>
  </si>
  <si>
    <t>scores</t>
  </si>
  <si>
    <t>goed</t>
  </si>
  <si>
    <t>winnaar</t>
  </si>
  <si>
    <t>Team</t>
  </si>
  <si>
    <t>volg</t>
  </si>
  <si>
    <t>2de</t>
  </si>
  <si>
    <t>Patrick van Aanholt</t>
  </si>
  <si>
    <t>Donny van de Beek</t>
  </si>
  <si>
    <t>Steven Berghuis</t>
  </si>
  <si>
    <t>Steven Bergwijn</t>
  </si>
  <si>
    <t>Danzel Dumfries</t>
  </si>
  <si>
    <t>Ryan Gravenberch</t>
  </si>
  <si>
    <t>Frenkie de Jong</t>
  </si>
  <si>
    <t>Luuk de Jong</t>
  </si>
  <si>
    <t>Matthijs de Ligt</t>
  </si>
  <si>
    <t>Donyell Malen</t>
  </si>
  <si>
    <t>Marten de Roon</t>
  </si>
  <si>
    <t>Joel Veltman</t>
  </si>
  <si>
    <t>Owen Wijndal</t>
  </si>
  <si>
    <t>Marco Bizot</t>
  </si>
  <si>
    <t>Steven de Vrij</t>
  </si>
  <si>
    <t>Wout Weghorst</t>
  </si>
  <si>
    <t>SPELREGELS</t>
  </si>
  <si>
    <t>Deelname:</t>
  </si>
  <si>
    <r>
      <t xml:space="preserve">- Iedere medewerker van de DCMR mag </t>
    </r>
    <r>
      <rPr>
        <b/>
        <sz val="11"/>
        <rFont val="Arial"/>
        <family val="2"/>
      </rPr>
      <t>1 introducee</t>
    </r>
    <r>
      <rPr>
        <sz val="11"/>
        <color indexed="8"/>
        <rFont val="Arial"/>
        <family val="2"/>
      </rPr>
      <t xml:space="preserve"> mee laten doen.</t>
    </r>
  </si>
  <si>
    <t>Prijzenpot:</t>
  </si>
  <si>
    <t>- Wanneer er sprake is van een gelijke stand aangaande de plekken voor de prijzen zal:</t>
  </si>
  <si>
    <t>- Indien dit geen uitsluitsel geeft wordt er gekeken naar wie de meeste punten heeft behaald bij de top 4</t>
  </si>
  <si>
    <t>- indien dit geen uitsluitsel geeft dan naar de behaalde score van het elftal</t>
  </si>
  <si>
    <t>- indien dit wederom geen uitsluitsel geeft zal de prijs worden verdeeld</t>
  </si>
  <si>
    <t>- Degene met de meeste wedstrijden goed voorspeld (= 10 punten) krijgt 5% van de totale inleg</t>
  </si>
  <si>
    <t>- bij gelijke stand wint degene die het hoogste staat op de ranglijst</t>
  </si>
  <si>
    <t>Punten bij de wedstrijden:</t>
  </si>
  <si>
    <t>- Uitslag van de wedstrijden  juist = 10 punten</t>
  </si>
  <si>
    <t>- vanaf de 2de ronde is het uitslag na 90 min en invullen van toto voor winnaar na verlening of penaltys</t>
  </si>
  <si>
    <t>- Uitslag fout maar toto wel goed = 5 punten</t>
  </si>
  <si>
    <t>- Uitslag en toto fout maar aantal doelpunten (bij een van de ploegen) juist = 1 punt</t>
  </si>
  <si>
    <t>Eindstanden Poule's</t>
  </si>
  <si>
    <t>- Elk team op de juiste positie = 10 punten (max 40 punten per poule).</t>
  </si>
  <si>
    <t>- Elftal 3 punten per speler</t>
  </si>
  <si>
    <t>- Bonus van 15 punten indien alle 11 goed</t>
  </si>
  <si>
    <t>- let op bij het invullen het is een keuze lijstje! Indien je buiten de lijst wil selecteren moet je dit in de mail aangeven</t>
  </si>
  <si>
    <t>- hulp: k = keeper, v = verdediger, m = middenvelder, a = aanvaller</t>
  </si>
  <si>
    <t>- Inschrijfbijdrage Euro 2,50 per deelnemer</t>
  </si>
  <si>
    <t>- De prijzenpot is het aantal deelnemer x Euro 2,50</t>
  </si>
  <si>
    <t>team</t>
  </si>
  <si>
    <t>Totaal Punten</t>
  </si>
  <si>
    <t>Wedstrijd score</t>
  </si>
  <si>
    <t>Poule score</t>
  </si>
  <si>
    <t>Wedstrijden goed</t>
  </si>
  <si>
    <t>WK winnaar</t>
  </si>
  <si>
    <t>De nummer 2 goed = 80 punten</t>
  </si>
  <si>
    <t>De nummer 3 of 4 goed = 50 punten</t>
  </si>
  <si>
    <t>Winnaar EK goed = 150 punten</t>
  </si>
  <si>
    <t>Jouw EK winnaar wordt 2de = 60 punten</t>
  </si>
  <si>
    <t>Jouw nummer 2 wordt EK winnaar = 60 punten</t>
  </si>
  <si>
    <t>Jouw nummer 1 of 2 wordt 3de of 4de = 20 punten</t>
  </si>
  <si>
    <t>Jouw nummer 3 of 4 wordt 1ste of 2de = 20 punten</t>
  </si>
  <si>
    <t>Nederlands elftal (opstelling tegen Noord Macedonie in de poulefase)</t>
  </si>
  <si>
    <t>W41 - W42</t>
  </si>
  <si>
    <t>W39 - W37</t>
  </si>
  <si>
    <t>W40 - W38</t>
  </si>
  <si>
    <t>W43 - W44</t>
  </si>
  <si>
    <t>W48 - W47</t>
  </si>
  <si>
    <t>W49 - W50</t>
  </si>
  <si>
    <t>A2 - B2</t>
  </si>
  <si>
    <t>A1 - C2</t>
  </si>
  <si>
    <t>C1 - A/D/E/F3</t>
  </si>
  <si>
    <t>B1 - A/D/E/F3</t>
  </si>
  <si>
    <t>D2 - E3</t>
  </si>
  <si>
    <t>F1 - A/B/C3</t>
  </si>
  <si>
    <t>D1 - F2</t>
  </si>
  <si>
    <t>E1 - A/B/C/D3</t>
  </si>
  <si>
    <t>D2 - E2</t>
  </si>
  <si>
    <t>achtste finale</t>
  </si>
  <si>
    <t>kwartfinale</t>
  </si>
  <si>
    <t>uitslag 8ste</t>
  </si>
  <si>
    <t>uitslag kwart</t>
  </si>
  <si>
    <t>Punten per team</t>
  </si>
  <si>
    <t>- achtstefinalist goed (ongeacht de plek) -&gt; 5 punten per team</t>
  </si>
  <si>
    <t>- kwartfinalist goed (ongeacht de plek) -&gt; 10 punten per team</t>
  </si>
  <si>
    <t>totaal:</t>
  </si>
  <si>
    <t>Deze ploegen worden automatisch ingevuld door je poulestanden</t>
  </si>
  <si>
    <t>Wedstrijdenvoorspelling, poulestand, ploegen van achtste finale (3de plekken)</t>
  </si>
  <si>
    <t>8-ste finale</t>
  </si>
  <si>
    <t>8-ste &amp; kwart</t>
  </si>
  <si>
    <t>8ste en kwart</t>
  </si>
  <si>
    <t>Noem de basis opstelling tegen Noord-Macedonie (3de wedstrijd)</t>
  </si>
  <si>
    <t>C1 - D/E/F3</t>
  </si>
  <si>
    <t>W46 - W45</t>
  </si>
  <si>
    <t>Nathan Ake</t>
  </si>
  <si>
    <t>Jurrien Timber</t>
  </si>
  <si>
    <t>Teun Koopmeiners</t>
  </si>
  <si>
    <t>Cody Gakpo</t>
  </si>
  <si>
    <t xml:space="preserve">Hulplijstje </t>
  </si>
  <si>
    <t>3de plaats</t>
  </si>
  <si>
    <t>- De nummer 4 krijgt 10% van de totale inleg</t>
  </si>
  <si>
    <t>- De nummer 5 krijgt 5% van de totale inleg</t>
  </si>
  <si>
    <t>- De nummer 3 krijgt 17,5% van de totale inleg</t>
  </si>
  <si>
    <t>- De winnaar krijgt 37,5% van de totale inleg</t>
  </si>
  <si>
    <t>- De nummer 2 krijgt 25% van de totale inleg</t>
  </si>
  <si>
    <t>Ploegenprijs</t>
  </si>
  <si>
    <t xml:space="preserve">-De hoeveelheid deelnemers in een ploeg is afhankelijk van het aantal deelnemers, maar bedraagt minimaal 6 deelnemers. </t>
  </si>
  <si>
    <t>Korte toelichting:</t>
  </si>
  <si>
    <t>- Je strijdt mee om de individuele prijzen en de "ploegenprijs"</t>
  </si>
  <si>
    <t>- je wordt als deelnemer aan de EK-poule ingedeeld in een ploeg. Je wordt ingedeeld met overige deelnemers van de poule. Dit zal door middel van loting worden gedaan. De loting zal worden uitgevoerd op 11 juni 2021 om 16:00 uur.</t>
  </si>
  <si>
    <t>- De punten die je behaalt op individuele basis breng je in bij je ploeg. De ploeg met de meeste punten wint. Indien de teams niet gelijkwaardig kunnen worden verdeeld zal er worden gerekend met een gemiddelde score.</t>
  </si>
  <si>
    <t>- bij gelijke stand in het ploegenklassement is de ploeg met de deelnemer met de hoogste individuele score in het individuele klassement de winnende ploeg</t>
  </si>
  <si>
    <t>- De ploegenprijs zal een fysieke prijs zijn. Deze zal nader worden bepaald. De kosten van deze prijs zal uit de prijzenpot worden bekostigd en worden afgetrokken van de prijzen op individuele basis</t>
  </si>
  <si>
    <t>Individuele prijzen (6 stuks) -&gt; totale inleg minus aftrek van de ploegenprijs</t>
  </si>
  <si>
    <t>- Je mag meedoen als je werkzaam bent bij DCMR</t>
  </si>
  <si>
    <t>- Als ex-DCMR medewerker mag je meedoen zonder introducee</t>
  </si>
  <si>
    <t>- Wat moet ik invullen? (door de tab-toets te gebruiken doorloop je het excel vrij makkelijk)</t>
  </si>
  <si>
    <t>- Inleveren (formulier en geld): Uiterlijk vrijdag 11 juni 2021 uiterlijk 15:00 uur, per e-mail: voetbalpoule@dcmr.nl</t>
  </si>
  <si>
    <t>- bij gelijke stand zal eerst gekeken worden wie de EK-winnaar goed had</t>
  </si>
  <si>
    <t>- indien dit geen uitsluitsel geeft zal worden gekeken wie de EK-winnaar goed had</t>
  </si>
  <si>
    <t>EK</t>
  </si>
  <si>
    <t>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</si>
</sst>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hh:mm:ss"/>
    <numFmt numFmtId="165" formatCode="[$-413]d/mmm;@"/>
  </numFmts>
  <fonts count="33" x14ac:knownFonts="1">
    <font>
      <sz val="12"/>
      <color theme="1"/>
      <name val="Calibri"/>
      <family val="2"/>
      <scheme val="minor"/>
    </font>
    <font>
      <b/>
      <sz val="10"/>
      <color theme="0"/>
      <name val="Arial"/>
      <family val="2"/>
    </font>
    <font>
      <sz val="10"/>
      <color theme="1"/>
      <name val="Arial"/>
      <family val="2"/>
    </font>
    <font>
      <sz val="10"/>
      <color theme="1" tint="4.9989318521683403E-2"/>
      <name val="Arial"/>
      <family val="2"/>
    </font>
    <font>
      <sz val="10"/>
      <color theme="0"/>
      <name val="Arial"/>
      <family val="2"/>
    </font>
    <font>
      <sz val="10"/>
      <color rgb="FF007A8C"/>
      <name val="Arial"/>
      <family val="2"/>
    </font>
    <font>
      <b/>
      <sz val="11"/>
      <color indexed="9"/>
      <name val="Calibri"/>
      <family val="2"/>
    </font>
    <font>
      <b/>
      <sz val="10"/>
      <color indexed="9"/>
      <name val="Arial"/>
      <family val="2"/>
    </font>
    <font>
      <sz val="9"/>
      <name val="Arial"/>
      <family val="2"/>
    </font>
    <font>
      <sz val="10"/>
      <color indexed="8"/>
      <name val="Arial"/>
      <family val="2"/>
    </font>
    <font>
      <b/>
      <sz val="10"/>
      <name val="Arial"/>
      <family val="2"/>
    </font>
    <font>
      <sz val="11"/>
      <color theme="1"/>
      <name val="Calibri"/>
      <family val="2"/>
      <scheme val="minor"/>
    </font>
    <font>
      <sz val="10"/>
      <name val="Arial"/>
      <family val="2"/>
    </font>
    <font>
      <sz val="8"/>
      <name val="Arial"/>
      <family val="2"/>
    </font>
    <font>
      <sz val="10"/>
      <color indexed="13"/>
      <name val="Arial"/>
      <family val="2"/>
    </font>
    <font>
      <b/>
      <sz val="20"/>
      <name val="Arial"/>
      <family val="2"/>
    </font>
    <font>
      <sz val="11"/>
      <color indexed="8"/>
      <name val="Arial"/>
      <family val="2"/>
    </font>
    <font>
      <b/>
      <sz val="11"/>
      <color indexed="8"/>
      <name val="Arial"/>
      <family val="2"/>
    </font>
    <font>
      <b/>
      <sz val="11"/>
      <name val="Arial"/>
      <family val="2"/>
    </font>
    <font>
      <sz val="11"/>
      <name val="Arial"/>
      <family val="2"/>
    </font>
    <font>
      <sz val="11"/>
      <color rgb="FF000000"/>
      <name val="Calibri"/>
      <family val="2"/>
      <scheme val="minor"/>
    </font>
    <font>
      <b/>
      <sz val="10"/>
      <color theme="1"/>
      <name val="Arial"/>
      <family val="2"/>
    </font>
    <font>
      <sz val="12"/>
      <color theme="1"/>
      <name val="Arial"/>
      <family val="2"/>
    </font>
    <font>
      <b/>
      <sz val="11"/>
      <color indexed="9"/>
      <name val="Arial"/>
      <family val="2"/>
    </font>
    <font>
      <sz val="11"/>
      <color indexed="9"/>
      <name val="Arial"/>
      <family val="2"/>
    </font>
    <font>
      <b/>
      <sz val="10"/>
      <color indexed="8"/>
      <name val="Arial"/>
      <family val="2"/>
    </font>
    <font>
      <b/>
      <sz val="10"/>
      <color indexed="12"/>
      <name val="Arial"/>
      <family val="2"/>
    </font>
    <font>
      <b/>
      <sz val="10"/>
      <color indexed="10"/>
      <name val="Arial"/>
      <family val="2"/>
    </font>
    <font>
      <sz val="12"/>
      <color theme="0"/>
      <name val="Arial"/>
      <family val="2"/>
    </font>
    <font>
      <sz val="11"/>
      <color theme="0"/>
      <name val="Arial"/>
      <family val="2"/>
    </font>
    <font>
      <b/>
      <sz val="14"/>
      <color indexed="8"/>
      <name val="Arial"/>
      <family val="2"/>
    </font>
    <font>
      <b/>
      <sz val="16"/>
      <color indexed="13"/>
      <name val="Arial"/>
      <family val="2"/>
    </font>
    <font>
      <u/>
      <sz val="12"/>
      <color theme="10"/>
      <name val="Calibri"/>
      <family val="2"/>
      <scheme val="minor"/>
    </font>
  </fonts>
  <fills count="23">
    <fill>
      <patternFill patternType="none"/>
    </fill>
    <fill>
      <patternFill patternType="gray125"/>
    </fill>
    <fill>
      <patternFill patternType="solid">
        <fgColor rgb="FF45BDCF"/>
        <bgColor indexed="64"/>
      </patternFill>
    </fill>
    <fill>
      <patternFill patternType="solid">
        <fgColor rgb="FFBB7CB3"/>
        <bgColor indexed="64"/>
      </patternFill>
    </fill>
    <fill>
      <patternFill patternType="solid">
        <fgColor rgb="FF95C23D"/>
        <bgColor indexed="64"/>
      </patternFill>
    </fill>
    <fill>
      <patternFill patternType="solid">
        <fgColor rgb="FFF7A600"/>
        <bgColor indexed="64"/>
      </patternFill>
    </fill>
    <fill>
      <patternFill patternType="solid">
        <fgColor rgb="FFE6184F"/>
        <bgColor indexed="64"/>
      </patternFill>
    </fill>
    <fill>
      <patternFill patternType="solid">
        <fgColor rgb="FF6A144C"/>
        <bgColor indexed="64"/>
      </patternFill>
    </fill>
    <fill>
      <patternFill patternType="solid">
        <fgColor rgb="FF878786"/>
        <bgColor indexed="64"/>
      </patternFill>
    </fill>
    <fill>
      <patternFill patternType="solid">
        <fgColor theme="0"/>
        <bgColor indexed="64"/>
      </patternFill>
    </fill>
    <fill>
      <patternFill patternType="solid">
        <fgColor theme="1"/>
        <bgColor indexed="64"/>
      </patternFill>
    </fill>
    <fill>
      <patternFill patternType="solid">
        <fgColor indexed="8"/>
        <bgColor indexed="64"/>
      </patternFill>
    </fill>
    <fill>
      <patternFill patternType="solid">
        <fgColor indexed="13"/>
        <bgColor indexed="64"/>
      </patternFill>
    </fill>
    <fill>
      <patternFill patternType="solid">
        <fgColor indexed="50"/>
        <bgColor indexed="64"/>
      </patternFill>
    </fill>
    <fill>
      <patternFill patternType="solid">
        <fgColor indexed="17"/>
        <bgColor indexed="64"/>
      </patternFill>
    </fill>
    <fill>
      <patternFill patternType="solid">
        <fgColor rgb="FFFFFF00"/>
        <bgColor indexed="64"/>
      </patternFill>
    </fill>
    <fill>
      <patternFill patternType="solid">
        <fgColor indexed="53"/>
        <bgColor indexed="64"/>
      </patternFill>
    </fill>
    <fill>
      <patternFill patternType="solid">
        <fgColor theme="1" tint="0.34998626667073579"/>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7"/>
        <bgColor indexed="64"/>
      </patternFill>
    </fill>
    <fill>
      <patternFill patternType="solid">
        <fgColor theme="1" tint="0.14999847407452621"/>
        <bgColor indexed="64"/>
      </patternFill>
    </fill>
    <fill>
      <patternFill patternType="solid">
        <fgColor rgb="FFFFC0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1" fillId="0" borderId="0"/>
    <xf numFmtId="0" fontId="32" fillId="0" borderId="0" applyNumberFormat="0" applyFill="0" applyBorder="0" applyAlignment="0" applyProtection="0"/>
  </cellStyleXfs>
  <cellXfs count="166">
    <xf numFmtId="0" fontId="0" fillId="0" borderId="0" xfId="0"/>
    <xf numFmtId="0" fontId="2" fillId="0" borderId="1" xfId="0" applyFont="1" applyBorder="1"/>
    <xf numFmtId="164" fontId="3" fillId="0" borderId="1" xfId="0" applyNumberFormat="1" applyFont="1" applyFill="1" applyBorder="1" applyAlignment="1">
      <alignment horizontal="left"/>
    </xf>
    <xf numFmtId="0" fontId="4" fillId="2" borderId="1" xfId="0" applyFont="1" applyFill="1" applyBorder="1" applyAlignment="1">
      <alignment horizontal="center"/>
    </xf>
    <xf numFmtId="0" fontId="4" fillId="3" borderId="1" xfId="0" applyFont="1" applyFill="1" applyBorder="1" applyAlignment="1">
      <alignment horizontal="center"/>
    </xf>
    <xf numFmtId="0" fontId="4" fillId="4" borderId="1" xfId="0" applyFont="1" applyFill="1" applyBorder="1" applyAlignment="1">
      <alignment horizontal="center"/>
    </xf>
    <xf numFmtId="0" fontId="4" fillId="5" borderId="1" xfId="0" applyFont="1" applyFill="1" applyBorder="1" applyAlignment="1">
      <alignment horizontal="center"/>
    </xf>
    <xf numFmtId="0" fontId="4" fillId="6" borderId="1" xfId="0" applyFont="1" applyFill="1" applyBorder="1" applyAlignment="1">
      <alignment horizontal="center"/>
    </xf>
    <xf numFmtId="0" fontId="4" fillId="7" borderId="1" xfId="0" applyFont="1" applyFill="1" applyBorder="1" applyAlignment="1">
      <alignment horizontal="center"/>
    </xf>
    <xf numFmtId="0" fontId="4" fillId="8" borderId="1" xfId="0" applyFont="1" applyFill="1" applyBorder="1" applyAlignment="1">
      <alignment horizontal="left"/>
    </xf>
    <xf numFmtId="0" fontId="5" fillId="9" borderId="1" xfId="0" applyFont="1" applyFill="1" applyBorder="1" applyAlignment="1">
      <alignment horizontal="left"/>
    </xf>
    <xf numFmtId="0" fontId="1" fillId="10" borderId="1" xfId="0" applyFont="1" applyFill="1" applyBorder="1" applyAlignment="1">
      <alignment horizontal="center"/>
    </xf>
    <xf numFmtId="164" fontId="1" fillId="10" borderId="1" xfId="0" applyNumberFormat="1" applyFont="1" applyFill="1" applyBorder="1" applyAlignment="1">
      <alignment horizontal="center"/>
    </xf>
    <xf numFmtId="164" fontId="3" fillId="0" borderId="1" xfId="0" applyNumberFormat="1" applyFont="1" applyFill="1" applyBorder="1" applyAlignment="1">
      <alignment horizontal="center"/>
    </xf>
    <xf numFmtId="0" fontId="7" fillId="11" borderId="0" xfId="0" applyFont="1" applyFill="1" applyAlignment="1">
      <alignment horizontal="center"/>
    </xf>
    <xf numFmtId="1" fontId="8" fillId="0" borderId="12" xfId="0" applyNumberFormat="1" applyFont="1" applyBorder="1" applyAlignment="1">
      <alignment horizontal="center" vertical="center"/>
    </xf>
    <xf numFmtId="1" fontId="8" fillId="0" borderId="13" xfId="0" applyNumberFormat="1" applyFont="1" applyBorder="1" applyAlignment="1">
      <alignment horizontal="center" vertical="center"/>
    </xf>
    <xf numFmtId="0" fontId="9" fillId="0" borderId="1" xfId="0" applyFont="1" applyFill="1" applyBorder="1" applyAlignment="1">
      <alignment horizontal="left"/>
    </xf>
    <xf numFmtId="0" fontId="10" fillId="0" borderId="16" xfId="0" applyFont="1" applyBorder="1"/>
    <xf numFmtId="0" fontId="6" fillId="11" borderId="1" xfId="1" applyFont="1" applyFill="1" applyBorder="1" applyAlignment="1">
      <alignment horizontal="center"/>
    </xf>
    <xf numFmtId="0" fontId="11" fillId="0" borderId="0" xfId="1"/>
    <xf numFmtId="0" fontId="7" fillId="11" borderId="1" xfId="1" applyFont="1" applyFill="1" applyBorder="1" applyAlignment="1">
      <alignment horizontal="center"/>
    </xf>
    <xf numFmtId="0" fontId="12" fillId="0" borderId="1" xfId="1" applyFont="1" applyBorder="1" applyAlignment="1">
      <alignment horizontal="center" vertical="center"/>
    </xf>
    <xf numFmtId="0" fontId="13" fillId="0" borderId="1" xfId="1" applyFont="1" applyBorder="1" applyAlignment="1">
      <alignment horizontal="center" vertical="center"/>
    </xf>
    <xf numFmtId="0" fontId="12" fillId="0" borderId="1" xfId="1" applyFont="1" applyFill="1" applyBorder="1" applyAlignment="1">
      <alignment horizontal="left"/>
    </xf>
    <xf numFmtId="0" fontId="14" fillId="14" borderId="1" xfId="1" applyFont="1" applyFill="1" applyBorder="1" applyAlignment="1">
      <alignment horizontal="center"/>
    </xf>
    <xf numFmtId="0" fontId="12" fillId="0" borderId="1" xfId="1" applyFont="1" applyFill="1" applyBorder="1" applyAlignment="1">
      <alignment horizontal="center"/>
    </xf>
    <xf numFmtId="0" fontId="12" fillId="0" borderId="1" xfId="1" applyFont="1" applyBorder="1" applyAlignment="1">
      <alignment horizontal="center"/>
    </xf>
    <xf numFmtId="0" fontId="11" fillId="0" borderId="0" xfId="1" applyAlignment="1">
      <alignment horizontal="left"/>
    </xf>
    <xf numFmtId="0" fontId="2" fillId="0" borderId="0" xfId="0" applyFont="1"/>
    <xf numFmtId="0" fontId="9" fillId="0" borderId="0" xfId="0" applyFont="1"/>
    <xf numFmtId="0" fontId="12" fillId="0" borderId="0" xfId="1" applyFont="1" applyFill="1" applyBorder="1" applyAlignment="1">
      <alignment horizontal="left"/>
    </xf>
    <xf numFmtId="0" fontId="4" fillId="17" borderId="1" xfId="0" applyFont="1" applyFill="1" applyBorder="1" applyAlignment="1">
      <alignment horizontal="left"/>
    </xf>
    <xf numFmtId="49" fontId="16" fillId="18" borderId="0" xfId="1" applyNumberFormat="1" applyFont="1" applyFill="1" applyBorder="1" applyAlignment="1">
      <alignment horizontal="left"/>
    </xf>
    <xf numFmtId="49" fontId="16" fillId="19" borderId="0" xfId="1" applyNumberFormat="1" applyFont="1" applyFill="1" applyBorder="1" applyAlignment="1">
      <alignment horizontal="left"/>
    </xf>
    <xf numFmtId="0" fontId="16" fillId="9" borderId="20" xfId="1" applyFont="1" applyFill="1" applyBorder="1"/>
    <xf numFmtId="0" fontId="16" fillId="9" borderId="21" xfId="1" applyFont="1" applyFill="1" applyBorder="1"/>
    <xf numFmtId="0" fontId="16" fillId="9" borderId="22" xfId="1" applyFont="1" applyFill="1" applyBorder="1"/>
    <xf numFmtId="0" fontId="17" fillId="9" borderId="23" xfId="1" applyFont="1" applyFill="1" applyBorder="1"/>
    <xf numFmtId="49" fontId="18" fillId="9" borderId="0" xfId="1" applyNumberFormat="1" applyFont="1" applyFill="1" applyBorder="1" applyAlignment="1">
      <alignment horizontal="left"/>
    </xf>
    <xf numFmtId="49" fontId="10" fillId="9" borderId="0" xfId="1" applyNumberFormat="1" applyFont="1" applyFill="1" applyBorder="1" applyAlignment="1">
      <alignment horizontal="left"/>
    </xf>
    <xf numFmtId="0" fontId="16" fillId="9" borderId="24" xfId="1" applyFont="1" applyFill="1" applyBorder="1"/>
    <xf numFmtId="49" fontId="19" fillId="9" borderId="23" xfId="1" applyNumberFormat="1" applyFont="1" applyFill="1" applyBorder="1" applyAlignment="1">
      <alignment horizontal="left"/>
    </xf>
    <xf numFmtId="49" fontId="16" fillId="9" borderId="23" xfId="1" applyNumberFormat="1" applyFont="1" applyFill="1" applyBorder="1"/>
    <xf numFmtId="49" fontId="16" fillId="9" borderId="0" xfId="1" applyNumberFormat="1" applyFont="1" applyFill="1" applyBorder="1" applyAlignment="1">
      <alignment horizontal="left"/>
    </xf>
    <xf numFmtId="49" fontId="19" fillId="9" borderId="25" xfId="1" applyNumberFormat="1" applyFont="1" applyFill="1" applyBorder="1" applyAlignment="1">
      <alignment horizontal="left"/>
    </xf>
    <xf numFmtId="49" fontId="16" fillId="9" borderId="26" xfId="1" applyNumberFormat="1" applyFont="1" applyFill="1" applyBorder="1" applyAlignment="1">
      <alignment horizontal="left"/>
    </xf>
    <xf numFmtId="0" fontId="16" fillId="9" borderId="27" xfId="1" applyFont="1" applyFill="1" applyBorder="1"/>
    <xf numFmtId="49" fontId="16" fillId="9" borderId="21" xfId="1" applyNumberFormat="1" applyFont="1" applyFill="1" applyBorder="1" applyAlignment="1">
      <alignment horizontal="left"/>
    </xf>
    <xf numFmtId="49" fontId="18" fillId="9" borderId="23" xfId="1" applyNumberFormat="1" applyFont="1" applyFill="1" applyBorder="1" applyAlignment="1">
      <alignment horizontal="left"/>
    </xf>
    <xf numFmtId="49" fontId="16" fillId="9" borderId="23" xfId="1" applyNumberFormat="1" applyFont="1" applyFill="1" applyBorder="1" applyAlignment="1">
      <alignment horizontal="left"/>
    </xf>
    <xf numFmtId="49" fontId="16" fillId="9" borderId="25" xfId="1" applyNumberFormat="1" applyFont="1" applyFill="1" applyBorder="1" applyAlignment="1">
      <alignment horizontal="left"/>
    </xf>
    <xf numFmtId="49" fontId="16" fillId="9" borderId="20" xfId="1" applyNumberFormat="1" applyFont="1" applyFill="1" applyBorder="1" applyAlignment="1">
      <alignment horizontal="left"/>
    </xf>
    <xf numFmtId="49" fontId="17" fillId="9" borderId="23" xfId="1" applyNumberFormat="1" applyFont="1" applyFill="1" applyBorder="1" applyAlignment="1">
      <alignment horizontal="left"/>
    </xf>
    <xf numFmtId="49" fontId="17" fillId="9" borderId="20" xfId="1" applyNumberFormat="1" applyFont="1" applyFill="1" applyBorder="1" applyAlignment="1">
      <alignment horizontal="left"/>
    </xf>
    <xf numFmtId="0" fontId="11" fillId="9" borderId="23" xfId="1" applyFill="1" applyBorder="1"/>
    <xf numFmtId="0" fontId="11" fillId="9" borderId="0" xfId="1" applyFill="1" applyBorder="1"/>
    <xf numFmtId="0" fontId="11" fillId="9" borderId="24" xfId="1" applyFill="1" applyBorder="1"/>
    <xf numFmtId="0" fontId="11" fillId="9" borderId="26" xfId="1" applyFill="1" applyBorder="1"/>
    <xf numFmtId="0" fontId="11" fillId="9" borderId="27" xfId="1" applyFill="1" applyBorder="1"/>
    <xf numFmtId="0" fontId="4" fillId="21" borderId="1" xfId="0" applyFont="1" applyFill="1" applyBorder="1" applyAlignment="1">
      <alignment horizontal="left"/>
    </xf>
    <xf numFmtId="49" fontId="16" fillId="18" borderId="23" xfId="1" applyNumberFormat="1" applyFont="1" applyFill="1" applyBorder="1" applyAlignment="1">
      <alignment horizontal="left"/>
    </xf>
    <xf numFmtId="0" fontId="3" fillId="18" borderId="1" xfId="0" applyNumberFormat="1" applyFont="1" applyFill="1" applyBorder="1" applyAlignment="1">
      <alignment horizontal="left"/>
    </xf>
    <xf numFmtId="0" fontId="2" fillId="18" borderId="1" xfId="0" applyNumberFormat="1" applyFont="1" applyFill="1" applyBorder="1"/>
    <xf numFmtId="0" fontId="2" fillId="20" borderId="1" xfId="0" applyNumberFormat="1" applyFont="1" applyFill="1" applyBorder="1"/>
    <xf numFmtId="0" fontId="3" fillId="22" borderId="1" xfId="0" applyNumberFormat="1" applyFont="1" applyFill="1" applyBorder="1" applyAlignment="1">
      <alignment horizontal="left"/>
    </xf>
    <xf numFmtId="0" fontId="2" fillId="22" borderId="1" xfId="0" applyNumberFormat="1" applyFont="1" applyFill="1" applyBorder="1"/>
    <xf numFmtId="0" fontId="2" fillId="18" borderId="1" xfId="0" applyNumberFormat="1" applyFont="1" applyFill="1" applyBorder="1" applyProtection="1">
      <protection locked="0"/>
    </xf>
    <xf numFmtId="0" fontId="4" fillId="8" borderId="11" xfId="0" applyFont="1" applyFill="1" applyBorder="1" applyAlignment="1">
      <alignment horizontal="left"/>
    </xf>
    <xf numFmtId="0" fontId="4" fillId="10" borderId="1" xfId="0" applyFont="1" applyFill="1" applyBorder="1" applyAlignment="1">
      <alignment horizontal="left"/>
    </xf>
    <xf numFmtId="49" fontId="16" fillId="19" borderId="23" xfId="1" applyNumberFormat="1" applyFont="1" applyFill="1" applyBorder="1" applyAlignment="1">
      <alignment horizontal="left"/>
    </xf>
    <xf numFmtId="0" fontId="20" fillId="0" borderId="0" xfId="0" applyFont="1"/>
    <xf numFmtId="0" fontId="20" fillId="0" borderId="0" xfId="0" applyFont="1" applyAlignment="1">
      <alignment horizontal="left" vertical="center" indent="2"/>
    </xf>
    <xf numFmtId="49" fontId="19" fillId="9" borderId="21" xfId="1" applyNumberFormat="1" applyFont="1" applyFill="1" applyBorder="1" applyAlignment="1">
      <alignment vertical="top" wrapText="1"/>
    </xf>
    <xf numFmtId="49" fontId="19" fillId="9" borderId="22" xfId="1" applyNumberFormat="1" applyFont="1" applyFill="1" applyBorder="1" applyAlignment="1">
      <alignment vertical="top" wrapText="1"/>
    </xf>
    <xf numFmtId="0" fontId="21" fillId="0" borderId="1" xfId="0" applyFont="1" applyBorder="1"/>
    <xf numFmtId="0" fontId="22" fillId="0" borderId="0" xfId="0" applyFont="1"/>
    <xf numFmtId="0" fontId="23" fillId="11" borderId="0" xfId="0" applyFont="1" applyFill="1"/>
    <xf numFmtId="0" fontId="23" fillId="11" borderId="1" xfId="0" applyFont="1" applyFill="1" applyBorder="1" applyAlignment="1">
      <alignment horizontal="center"/>
    </xf>
    <xf numFmtId="0" fontId="23" fillId="11" borderId="29" xfId="0" applyFont="1" applyFill="1" applyBorder="1" applyAlignment="1"/>
    <xf numFmtId="0" fontId="23" fillId="11" borderId="11" xfId="0" applyFont="1" applyFill="1" applyBorder="1" applyAlignment="1">
      <alignment horizontal="center"/>
    </xf>
    <xf numFmtId="0" fontId="23" fillId="11" borderId="30" xfId="0" applyFont="1" applyFill="1" applyBorder="1" applyAlignment="1"/>
    <xf numFmtId="165" fontId="24" fillId="11" borderId="0" xfId="0" applyNumberFormat="1" applyFont="1" applyFill="1"/>
    <xf numFmtId="0" fontId="22" fillId="12" borderId="1" xfId="0" applyFont="1" applyFill="1" applyBorder="1" applyAlignment="1">
      <alignment horizontal="center"/>
    </xf>
    <xf numFmtId="37" fontId="22" fillId="12" borderId="1" xfId="0" applyNumberFormat="1" applyFont="1" applyFill="1" applyBorder="1" applyAlignment="1">
      <alignment horizontal="center"/>
    </xf>
    <xf numFmtId="0" fontId="25" fillId="0" borderId="0" xfId="0" applyFont="1"/>
    <xf numFmtId="0" fontId="7" fillId="11" borderId="5" xfId="0" applyFont="1" applyFill="1" applyBorder="1" applyAlignment="1">
      <alignment horizontal="center"/>
    </xf>
    <xf numFmtId="0" fontId="25" fillId="0" borderId="0" xfId="0" applyFont="1" applyAlignment="1">
      <alignment horizontal="center"/>
    </xf>
    <xf numFmtId="0" fontId="23" fillId="11" borderId="11" xfId="0" applyFont="1" applyFill="1" applyBorder="1"/>
    <xf numFmtId="0" fontId="7" fillId="11" borderId="0" xfId="0" applyFont="1" applyFill="1" applyBorder="1" applyAlignment="1">
      <alignment horizontal="center"/>
    </xf>
    <xf numFmtId="0" fontId="22" fillId="0" borderId="1" xfId="0" applyFont="1" applyBorder="1"/>
    <xf numFmtId="0" fontId="26" fillId="18" borderId="6" xfId="0" applyFont="1" applyFill="1" applyBorder="1" applyAlignment="1" applyProtection="1">
      <alignment horizontal="center"/>
      <protection locked="0"/>
    </xf>
    <xf numFmtId="0" fontId="25" fillId="0" borderId="7" xfId="0" quotePrefix="1" applyFont="1" applyBorder="1" applyAlignment="1">
      <alignment horizontal="center"/>
    </xf>
    <xf numFmtId="0" fontId="26" fillId="18" borderId="7" xfId="0" applyFont="1" applyFill="1" applyBorder="1" applyAlignment="1" applyProtection="1">
      <alignment horizontal="center"/>
      <protection locked="0"/>
    </xf>
    <xf numFmtId="0" fontId="27" fillId="0" borderId="8" xfId="0" applyFont="1" applyBorder="1" applyAlignment="1">
      <alignment horizontal="center"/>
    </xf>
    <xf numFmtId="0" fontId="25" fillId="0" borderId="1" xfId="0" applyFont="1" applyBorder="1"/>
    <xf numFmtId="37" fontId="27" fillId="0" borderId="1" xfId="0" applyNumberFormat="1" applyFont="1" applyBorder="1" applyAlignment="1">
      <alignment horizontal="center"/>
    </xf>
    <xf numFmtId="37" fontId="26" fillId="18" borderId="1" xfId="0" applyNumberFormat="1" applyFont="1" applyFill="1" applyBorder="1" applyAlignment="1" applyProtection="1">
      <alignment horizontal="center"/>
      <protection locked="0"/>
    </xf>
    <xf numFmtId="0" fontId="27" fillId="0" borderId="0" xfId="0" applyFont="1" applyBorder="1" applyAlignment="1">
      <alignment horizontal="center"/>
    </xf>
    <xf numFmtId="0" fontId="25" fillId="0" borderId="14" xfId="0" applyFont="1" applyBorder="1"/>
    <xf numFmtId="37" fontId="27" fillId="0" borderId="15" xfId="0" applyNumberFormat="1" applyFont="1" applyBorder="1" applyAlignment="1" applyProtection="1">
      <alignment horizontal="center"/>
    </xf>
    <xf numFmtId="0" fontId="23" fillId="11" borderId="0" xfId="0" applyFont="1" applyFill="1" applyAlignment="1">
      <alignment horizontal="center"/>
    </xf>
    <xf numFmtId="0" fontId="27" fillId="18" borderId="8" xfId="0" applyFont="1" applyFill="1" applyBorder="1" applyAlignment="1" applyProtection="1">
      <alignment horizontal="center"/>
      <protection locked="0"/>
    </xf>
    <xf numFmtId="0" fontId="24" fillId="11" borderId="0" xfId="0" applyFont="1" applyFill="1" applyAlignment="1">
      <alignment horizontal="center"/>
    </xf>
    <xf numFmtId="0" fontId="19" fillId="12" borderId="1" xfId="0" applyFont="1" applyFill="1" applyBorder="1" applyAlignment="1">
      <alignment horizontal="center"/>
    </xf>
    <xf numFmtId="0" fontId="22" fillId="0" borderId="0" xfId="0" applyFont="1" applyAlignment="1">
      <alignment horizontal="left"/>
    </xf>
    <xf numFmtId="0" fontId="22" fillId="0" borderId="1" xfId="0" applyFont="1" applyFill="1" applyBorder="1" applyAlignment="1">
      <alignment horizontal="center"/>
    </xf>
    <xf numFmtId="0" fontId="28" fillId="10" borderId="0" xfId="0" applyFont="1" applyFill="1"/>
    <xf numFmtId="0" fontId="29" fillId="11" borderId="0" xfId="0" applyFont="1" applyFill="1" applyAlignment="1">
      <alignment horizontal="center"/>
    </xf>
    <xf numFmtId="0" fontId="22" fillId="12" borderId="6" xfId="0" applyFont="1" applyFill="1" applyBorder="1" applyAlignment="1">
      <alignment horizontal="center"/>
    </xf>
    <xf numFmtId="0" fontId="22" fillId="15" borderId="28" xfId="0" applyFont="1" applyFill="1" applyBorder="1" applyAlignment="1">
      <alignment horizontal="center"/>
    </xf>
    <xf numFmtId="0" fontId="17" fillId="0" borderId="0" xfId="0" applyFont="1"/>
    <xf numFmtId="0" fontId="22" fillId="0" borderId="11" xfId="0" applyFont="1" applyFill="1" applyBorder="1" applyAlignment="1">
      <alignment horizontal="center"/>
    </xf>
    <xf numFmtId="164" fontId="22" fillId="0" borderId="1" xfId="0" applyNumberFormat="1" applyFont="1" applyBorder="1"/>
    <xf numFmtId="49" fontId="22" fillId="0" borderId="1" xfId="0" applyNumberFormat="1" applyFont="1" applyBorder="1"/>
    <xf numFmtId="0" fontId="22" fillId="0" borderId="1" xfId="0" applyNumberFormat="1" applyFont="1" applyBorder="1"/>
    <xf numFmtId="0" fontId="22" fillId="0" borderId="0" xfId="0" applyFont="1" applyFill="1"/>
    <xf numFmtId="0" fontId="22" fillId="0" borderId="0" xfId="0" applyFont="1" applyAlignment="1">
      <alignment horizontal="center"/>
    </xf>
    <xf numFmtId="0" fontId="22" fillId="0" borderId="0" xfId="0" applyNumberFormat="1" applyFont="1"/>
    <xf numFmtId="0" fontId="22" fillId="0" borderId="11" xfId="0" applyFont="1" applyFill="1" applyBorder="1"/>
    <xf numFmtId="0" fontId="2" fillId="15" borderId="1" xfId="0" applyFont="1" applyFill="1" applyBorder="1"/>
    <xf numFmtId="0" fontId="2" fillId="13" borderId="1" xfId="0" applyFont="1" applyFill="1" applyBorder="1" applyAlignment="1">
      <alignment horizontal="center"/>
    </xf>
    <xf numFmtId="0" fontId="2" fillId="12" borderId="1" xfId="0" applyFont="1" applyFill="1" applyBorder="1" applyAlignment="1">
      <alignment horizontal="center"/>
    </xf>
    <xf numFmtId="37" fontId="2" fillId="12" borderId="1" xfId="0" applyNumberFormat="1" applyFont="1" applyFill="1" applyBorder="1" applyAlignment="1">
      <alignment horizontal="center"/>
    </xf>
    <xf numFmtId="0" fontId="17" fillId="9" borderId="20" xfId="1" applyFont="1" applyFill="1" applyBorder="1"/>
    <xf numFmtId="0" fontId="32" fillId="0" borderId="0" xfId="2"/>
    <xf numFmtId="0" fontId="0" fillId="0" borderId="23" xfId="0" applyFill="1" applyBorder="1"/>
    <xf numFmtId="49" fontId="19" fillId="9" borderId="25" xfId="1" applyNumberFormat="1" applyFont="1" applyFill="1" applyBorder="1" applyAlignment="1">
      <alignment horizontal="left" vertical="top" wrapText="1"/>
    </xf>
    <xf numFmtId="49" fontId="19" fillId="9" borderId="26" xfId="1" applyNumberFormat="1" applyFont="1" applyFill="1" applyBorder="1" applyAlignment="1">
      <alignment horizontal="left" vertical="top" wrapText="1"/>
    </xf>
    <xf numFmtId="49" fontId="19" fillId="9" borderId="27" xfId="1" applyNumberFormat="1" applyFont="1" applyFill="1" applyBorder="1" applyAlignment="1">
      <alignment horizontal="left" vertical="top" wrapText="1"/>
    </xf>
    <xf numFmtId="49" fontId="19" fillId="9" borderId="23" xfId="1" applyNumberFormat="1" applyFont="1" applyFill="1" applyBorder="1" applyAlignment="1">
      <alignment horizontal="left" vertical="top" wrapText="1"/>
    </xf>
    <xf numFmtId="49" fontId="19" fillId="9" borderId="0" xfId="1" applyNumberFormat="1" applyFont="1" applyFill="1" applyBorder="1" applyAlignment="1">
      <alignment horizontal="left" vertical="top" wrapText="1"/>
    </xf>
    <xf numFmtId="49" fontId="19" fillId="9" borderId="24" xfId="1" applyNumberFormat="1" applyFont="1" applyFill="1" applyBorder="1" applyAlignment="1">
      <alignment horizontal="left" vertical="top" wrapText="1"/>
    </xf>
    <xf numFmtId="49" fontId="15" fillId="16" borderId="17" xfId="1" applyNumberFormat="1" applyFont="1" applyFill="1" applyBorder="1" applyAlignment="1">
      <alignment horizontal="center"/>
    </xf>
    <xf numFmtId="49" fontId="15" fillId="16" borderId="18" xfId="1" applyNumberFormat="1" applyFont="1" applyFill="1" applyBorder="1" applyAlignment="1">
      <alignment horizontal="center"/>
    </xf>
    <xf numFmtId="49" fontId="15" fillId="16" borderId="19" xfId="1" applyNumberFormat="1" applyFont="1" applyFill="1" applyBorder="1" applyAlignment="1">
      <alignment horizontal="center"/>
    </xf>
    <xf numFmtId="49" fontId="18" fillId="9" borderId="20" xfId="1" applyNumberFormat="1" applyFont="1" applyFill="1" applyBorder="1" applyAlignment="1">
      <alignment horizontal="left" vertical="top" wrapText="1"/>
    </xf>
    <xf numFmtId="49" fontId="18" fillId="9" borderId="21" xfId="1" applyNumberFormat="1" applyFont="1" applyFill="1" applyBorder="1" applyAlignment="1">
      <alignment horizontal="left" vertical="top" wrapText="1"/>
    </xf>
    <xf numFmtId="0" fontId="22" fillId="18" borderId="10" xfId="0" applyFont="1" applyFill="1" applyBorder="1" applyAlignment="1" applyProtection="1">
      <alignment horizontal="left"/>
      <protection locked="0"/>
    </xf>
    <xf numFmtId="0" fontId="19" fillId="18" borderId="6" xfId="0" applyFont="1" applyFill="1" applyBorder="1" applyAlignment="1" applyProtection="1">
      <alignment horizontal="center"/>
      <protection locked="0"/>
    </xf>
    <xf numFmtId="0" fontId="19" fillId="18" borderId="7" xfId="0" applyFont="1" applyFill="1" applyBorder="1" applyAlignment="1" applyProtection="1">
      <alignment horizontal="center"/>
      <protection locked="0"/>
    </xf>
    <xf numFmtId="0" fontId="19" fillId="18" borderId="9" xfId="0" applyFont="1" applyFill="1" applyBorder="1" applyAlignment="1" applyProtection="1">
      <alignment horizontal="center"/>
      <protection locked="0"/>
    </xf>
    <xf numFmtId="0" fontId="9" fillId="0" borderId="6" xfId="0" applyFont="1" applyFill="1" applyBorder="1" applyAlignment="1">
      <alignment horizontal="left"/>
    </xf>
    <xf numFmtId="0" fontId="9" fillId="0" borderId="7" xfId="0" applyFont="1" applyFill="1" applyBorder="1" applyAlignment="1">
      <alignment horizontal="left"/>
    </xf>
    <xf numFmtId="0" fontId="9" fillId="0" borderId="9" xfId="0" applyFont="1" applyFill="1" applyBorder="1" applyAlignment="1">
      <alignment horizontal="left"/>
    </xf>
    <xf numFmtId="0" fontId="26" fillId="18" borderId="7" xfId="0" applyFont="1" applyFill="1" applyBorder="1" applyAlignment="1" applyProtection="1">
      <alignment horizontal="center"/>
      <protection locked="0"/>
    </xf>
    <xf numFmtId="0" fontId="26" fillId="18" borderId="9" xfId="0" applyFont="1" applyFill="1" applyBorder="1" applyAlignment="1" applyProtection="1">
      <alignment horizontal="center"/>
      <protection locked="0"/>
    </xf>
    <xf numFmtId="0" fontId="31" fillId="18" borderId="1" xfId="0" applyFont="1" applyFill="1" applyBorder="1" applyAlignment="1" applyProtection="1">
      <alignment horizontal="center"/>
      <protection locked="0"/>
    </xf>
    <xf numFmtId="0" fontId="7" fillId="11" borderId="2" xfId="0" applyFont="1" applyFill="1" applyBorder="1" applyAlignment="1">
      <alignment horizontal="center"/>
    </xf>
    <xf numFmtId="0" fontId="7" fillId="11" borderId="3" xfId="0" applyFont="1" applyFill="1" applyBorder="1" applyAlignment="1">
      <alignment horizontal="center"/>
    </xf>
    <xf numFmtId="0" fontId="7" fillId="11" borderId="4" xfId="0" applyFont="1" applyFill="1" applyBorder="1" applyAlignment="1">
      <alignment horizontal="center"/>
    </xf>
    <xf numFmtId="0" fontId="7" fillId="11" borderId="0" xfId="0" applyFont="1" applyFill="1" applyBorder="1" applyAlignment="1">
      <alignment horizontal="center"/>
    </xf>
    <xf numFmtId="0" fontId="17" fillId="0" borderId="0" xfId="0" applyFont="1" applyAlignment="1">
      <alignment horizontal="center"/>
    </xf>
    <xf numFmtId="0" fontId="30" fillId="14" borderId="6" xfId="0" applyFont="1" applyFill="1" applyBorder="1" applyAlignment="1">
      <alignment horizontal="center"/>
    </xf>
    <xf numFmtId="0" fontId="30" fillId="14" borderId="7" xfId="0" applyFont="1" applyFill="1" applyBorder="1" applyAlignment="1">
      <alignment horizontal="center"/>
    </xf>
    <xf numFmtId="0" fontId="30" fillId="14" borderId="9" xfId="0" applyFont="1" applyFill="1" applyBorder="1" applyAlignment="1">
      <alignment horizontal="center"/>
    </xf>
    <xf numFmtId="0" fontId="22" fillId="0" borderId="6" xfId="0" applyFont="1" applyBorder="1" applyAlignment="1">
      <alignment horizontal="center"/>
    </xf>
    <xf numFmtId="0" fontId="22" fillId="0" borderId="7" xfId="0" applyFont="1" applyBorder="1" applyAlignment="1">
      <alignment horizontal="center"/>
    </xf>
    <xf numFmtId="0" fontId="22" fillId="0" borderId="9" xfId="0" applyFont="1" applyBorder="1" applyAlignment="1">
      <alignment horizontal="center"/>
    </xf>
    <xf numFmtId="16" fontId="22" fillId="0" borderId="6" xfId="0" applyNumberFormat="1" applyFont="1" applyBorder="1" applyAlignment="1">
      <alignment horizontal="center"/>
    </xf>
    <xf numFmtId="16" fontId="22" fillId="0" borderId="7" xfId="0" applyNumberFormat="1" applyFont="1" applyBorder="1" applyAlignment="1">
      <alignment horizontal="center"/>
    </xf>
    <xf numFmtId="16" fontId="22" fillId="0" borderId="9" xfId="0" applyNumberFormat="1" applyFont="1" applyBorder="1" applyAlignment="1">
      <alignment horizontal="center"/>
    </xf>
    <xf numFmtId="0" fontId="19" fillId="18" borderId="6" xfId="0" applyFont="1" applyFill="1" applyBorder="1" applyAlignment="1">
      <alignment horizontal="center"/>
    </xf>
    <xf numFmtId="0" fontId="19" fillId="18" borderId="7" xfId="0" applyFont="1" applyFill="1" applyBorder="1" applyAlignment="1">
      <alignment horizontal="center"/>
    </xf>
    <xf numFmtId="0" fontId="19" fillId="18" borderId="9" xfId="0" applyFont="1" applyFill="1" applyBorder="1" applyAlignment="1">
      <alignment horizontal="center"/>
    </xf>
    <xf numFmtId="0" fontId="31" fillId="18" borderId="1" xfId="0" applyFont="1" applyFill="1" applyBorder="1" applyAlignment="1">
      <alignment horizontal="center"/>
    </xf>
  </cellXfs>
  <cellStyles count="3">
    <cellStyle name="Hyperlink" xfId="2" builtinId="8"/>
    <cellStyle name="Standaard" xfId="0" builtinId="0"/>
    <cellStyle name="Standaard 2" xfId="1"/>
  </cellStyles>
  <dxfs count="11">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12700</xdr:rowOff>
    </xdr:from>
    <xdr:to>
      <xdr:col>0</xdr:col>
      <xdr:colOff>809858</xdr:colOff>
      <xdr:row>4</xdr:row>
      <xdr:rowOff>180487</xdr:rowOff>
    </xdr:to>
    <xdr:pic>
      <xdr:nvPicPr>
        <xdr:cNvPr id="2" name="Afbeelding 1">
          <a:extLst>
            <a:ext uri="{FF2B5EF4-FFF2-40B4-BE49-F238E27FC236}">
              <a16:creationId xmlns="" xmlns:a16="http://schemas.microsoft.com/office/drawing/2014/main" id="{5057725F-80E5-284A-A561-958918D86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5900"/>
          <a:ext cx="809858" cy="7583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12700</xdr:rowOff>
    </xdr:from>
    <xdr:to>
      <xdr:col>1</xdr:col>
      <xdr:colOff>505058</xdr:colOff>
      <xdr:row>4</xdr:row>
      <xdr:rowOff>190012</xdr:rowOff>
    </xdr:to>
    <xdr:pic>
      <xdr:nvPicPr>
        <xdr:cNvPr id="2" name="Afbeelding 1">
          <a:extLst>
            <a:ext uri="{FF2B5EF4-FFF2-40B4-BE49-F238E27FC236}">
              <a16:creationId xmlns="" xmlns:a16="http://schemas.microsoft.com/office/drawing/2014/main" id="{22B6D5A3-3CFA-9441-B465-18E34A4DAB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5900"/>
          <a:ext cx="809858" cy="758337"/>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75"/>
  <sheetViews>
    <sheetView workbookViewId="0">
      <selection activeCell="F34" sqref="F34"/>
    </sheetView>
  </sheetViews>
  <sheetFormatPr defaultColWidth="8.875" defaultRowHeight="15" x14ac:dyDescent="0.25"/>
  <cols>
    <col min="1" max="16384" width="8.875" style="20"/>
  </cols>
  <sheetData>
    <row r="1" spans="2:18" ht="15.75" thickBot="1" x14ac:dyDescent="0.3"/>
    <row r="2" spans="2:18" ht="27" thickBot="1" x14ac:dyDescent="0.45">
      <c r="B2" s="133" t="s">
        <v>150</v>
      </c>
      <c r="C2" s="134"/>
      <c r="D2" s="134"/>
      <c r="E2" s="134"/>
      <c r="F2" s="134"/>
      <c r="G2" s="134"/>
      <c r="H2" s="134"/>
      <c r="I2" s="134"/>
      <c r="J2" s="134"/>
      <c r="K2" s="134"/>
      <c r="L2" s="134"/>
      <c r="M2" s="134"/>
      <c r="N2" s="135"/>
    </row>
    <row r="3" spans="2:18" x14ac:dyDescent="0.25">
      <c r="B3" s="35"/>
      <c r="C3" s="36"/>
      <c r="D3" s="36"/>
      <c r="E3" s="36"/>
      <c r="F3" s="36"/>
      <c r="G3" s="36"/>
      <c r="H3" s="36"/>
      <c r="I3" s="36"/>
      <c r="J3" s="36"/>
      <c r="K3" s="36"/>
      <c r="L3" s="36"/>
      <c r="M3" s="36"/>
      <c r="N3" s="37"/>
    </row>
    <row r="4" spans="2:18" x14ac:dyDescent="0.25">
      <c r="B4" s="38" t="s">
        <v>151</v>
      </c>
      <c r="C4" s="39"/>
      <c r="D4" s="39"/>
      <c r="E4" s="39"/>
      <c r="F4" s="39"/>
      <c r="G4" s="39"/>
      <c r="H4" s="39"/>
      <c r="I4" s="39"/>
      <c r="J4" s="39"/>
      <c r="K4" s="39"/>
      <c r="L4" s="39"/>
      <c r="M4" s="40"/>
      <c r="N4" s="41"/>
    </row>
    <row r="5" spans="2:18" x14ac:dyDescent="0.25">
      <c r="B5" s="42" t="s">
        <v>238</v>
      </c>
      <c r="C5" s="39"/>
      <c r="D5" s="39"/>
      <c r="E5" s="39"/>
      <c r="F5" s="39"/>
      <c r="G5" s="39"/>
      <c r="H5" s="39"/>
      <c r="I5" s="39"/>
      <c r="J5" s="39"/>
      <c r="K5" s="39"/>
      <c r="L5" s="39"/>
      <c r="M5" s="40"/>
      <c r="N5" s="41"/>
    </row>
    <row r="6" spans="2:18" x14ac:dyDescent="0.25">
      <c r="B6" s="43" t="s">
        <v>152</v>
      </c>
      <c r="C6" s="44"/>
      <c r="D6" s="44"/>
      <c r="E6" s="44"/>
      <c r="F6" s="44"/>
      <c r="G6" s="44"/>
      <c r="H6" s="44"/>
      <c r="I6" s="44"/>
      <c r="J6" s="44"/>
      <c r="K6" s="44"/>
      <c r="L6" s="44"/>
      <c r="M6" s="44"/>
      <c r="N6" s="41"/>
    </row>
    <row r="7" spans="2:18" x14ac:dyDescent="0.25">
      <c r="B7" s="43" t="s">
        <v>239</v>
      </c>
      <c r="C7" s="44"/>
      <c r="D7" s="44"/>
      <c r="E7" s="44"/>
      <c r="F7" s="44"/>
      <c r="G7" s="44"/>
      <c r="H7" s="44"/>
      <c r="I7" s="44"/>
      <c r="J7" s="44"/>
      <c r="K7" s="44"/>
      <c r="L7" s="44"/>
      <c r="M7" s="44"/>
      <c r="N7" s="41"/>
    </row>
    <row r="8" spans="2:18" x14ac:dyDescent="0.25">
      <c r="B8" s="42" t="s">
        <v>171</v>
      </c>
      <c r="C8" s="44"/>
      <c r="D8" s="44"/>
      <c r="E8" s="44"/>
      <c r="F8" s="44"/>
      <c r="G8" s="44"/>
      <c r="H8" s="44"/>
      <c r="I8" s="44"/>
      <c r="J8" s="44"/>
      <c r="K8" s="44"/>
      <c r="L8" s="44"/>
      <c r="M8" s="44"/>
      <c r="N8" s="41"/>
    </row>
    <row r="9" spans="2:18" ht="15.75" x14ac:dyDescent="0.25">
      <c r="B9" s="126" t="s">
        <v>241</v>
      </c>
      <c r="C9" s="44"/>
      <c r="D9" s="44"/>
      <c r="E9" s="44"/>
      <c r="F9" s="44"/>
      <c r="G9" s="44"/>
      <c r="H9" s="44"/>
      <c r="I9" s="44"/>
      <c r="J9" s="44"/>
      <c r="K9" s="44"/>
      <c r="L9" s="44"/>
      <c r="M9" s="44"/>
      <c r="N9" s="41"/>
    </row>
    <row r="10" spans="2:18" x14ac:dyDescent="0.25">
      <c r="B10" s="42" t="s">
        <v>240</v>
      </c>
      <c r="C10" s="44"/>
      <c r="D10" s="44"/>
      <c r="E10" s="44"/>
      <c r="F10" s="44"/>
      <c r="G10" s="44"/>
      <c r="H10" s="44"/>
      <c r="I10" s="44"/>
      <c r="J10" s="44"/>
      <c r="K10" s="44"/>
      <c r="L10" s="44"/>
      <c r="M10" s="44"/>
      <c r="N10" s="41"/>
    </row>
    <row r="11" spans="2:18" x14ac:dyDescent="0.25">
      <c r="B11" s="61" t="s">
        <v>211</v>
      </c>
      <c r="C11" s="33"/>
      <c r="D11" s="33"/>
      <c r="E11" s="33"/>
      <c r="F11" s="33"/>
      <c r="G11" s="33"/>
      <c r="H11" s="33"/>
      <c r="I11" s="33"/>
      <c r="J11" s="33"/>
      <c r="K11" s="33"/>
      <c r="L11" s="33"/>
      <c r="M11" s="44"/>
      <c r="N11" s="41"/>
      <c r="R11" s="72"/>
    </row>
    <row r="12" spans="2:18" x14ac:dyDescent="0.25">
      <c r="B12" s="70" t="s">
        <v>210</v>
      </c>
      <c r="C12" s="34"/>
      <c r="D12" s="34"/>
      <c r="E12" s="34"/>
      <c r="F12" s="34"/>
      <c r="G12" s="34"/>
      <c r="H12" s="34"/>
      <c r="I12" s="34"/>
      <c r="J12" s="34"/>
      <c r="K12" s="34"/>
      <c r="L12" s="34"/>
      <c r="M12" s="44"/>
      <c r="N12" s="41"/>
      <c r="R12" s="72"/>
    </row>
    <row r="13" spans="2:18" ht="15.75" thickBot="1" x14ac:dyDescent="0.3">
      <c r="B13" s="45"/>
      <c r="C13" s="46"/>
      <c r="D13" s="46"/>
      <c r="E13" s="46"/>
      <c r="F13" s="46"/>
      <c r="G13" s="46"/>
      <c r="H13" s="46"/>
      <c r="I13" s="46"/>
      <c r="J13" s="46"/>
      <c r="K13" s="46"/>
      <c r="L13" s="46"/>
      <c r="M13" s="46"/>
      <c r="N13" s="47"/>
      <c r="R13" s="72"/>
    </row>
    <row r="14" spans="2:18" ht="15" customHeight="1" x14ac:dyDescent="0.25">
      <c r="B14" s="136" t="s">
        <v>231</v>
      </c>
      <c r="C14" s="137"/>
      <c r="D14" s="73"/>
      <c r="E14" s="73"/>
      <c r="F14" s="73"/>
      <c r="G14" s="73"/>
      <c r="H14" s="73"/>
      <c r="I14" s="73"/>
      <c r="J14" s="73"/>
      <c r="K14" s="73"/>
      <c r="L14" s="73"/>
      <c r="M14" s="73"/>
      <c r="N14" s="74"/>
      <c r="R14" s="72"/>
    </row>
    <row r="15" spans="2:18" ht="15" customHeight="1" x14ac:dyDescent="0.25">
      <c r="B15" s="130" t="s">
        <v>232</v>
      </c>
      <c r="C15" s="131"/>
      <c r="D15" s="131"/>
      <c r="E15" s="131"/>
      <c r="F15" s="131"/>
      <c r="G15" s="131"/>
      <c r="H15" s="131"/>
      <c r="I15" s="131"/>
      <c r="J15" s="131"/>
      <c r="K15" s="131"/>
      <c r="L15" s="131"/>
      <c r="M15" s="131"/>
      <c r="N15" s="132"/>
      <c r="R15" s="72"/>
    </row>
    <row r="16" spans="2:18" ht="36" customHeight="1" x14ac:dyDescent="0.25">
      <c r="B16" s="130" t="s">
        <v>233</v>
      </c>
      <c r="C16" s="131"/>
      <c r="D16" s="131"/>
      <c r="E16" s="131"/>
      <c r="F16" s="131"/>
      <c r="G16" s="131"/>
      <c r="H16" s="131"/>
      <c r="I16" s="131"/>
      <c r="J16" s="131"/>
      <c r="K16" s="131"/>
      <c r="L16" s="131"/>
      <c r="M16" s="131"/>
      <c r="N16" s="132"/>
      <c r="R16" s="71"/>
    </row>
    <row r="17" spans="2:14" x14ac:dyDescent="0.25">
      <c r="B17" s="130" t="s">
        <v>230</v>
      </c>
      <c r="C17" s="131"/>
      <c r="D17" s="131"/>
      <c r="E17" s="131"/>
      <c r="F17" s="131"/>
      <c r="G17" s="131"/>
      <c r="H17" s="131"/>
      <c r="I17" s="131"/>
      <c r="J17" s="131"/>
      <c r="K17" s="131"/>
      <c r="L17" s="131"/>
      <c r="M17" s="131"/>
      <c r="N17" s="132"/>
    </row>
    <row r="18" spans="2:14" x14ac:dyDescent="0.25">
      <c r="B18" s="130" t="s">
        <v>234</v>
      </c>
      <c r="C18" s="131"/>
      <c r="D18" s="131"/>
      <c r="E18" s="131"/>
      <c r="F18" s="131"/>
      <c r="G18" s="131"/>
      <c r="H18" s="131"/>
      <c r="I18" s="131"/>
      <c r="J18" s="131"/>
      <c r="K18" s="131"/>
      <c r="L18" s="131"/>
      <c r="M18" s="131"/>
      <c r="N18" s="132"/>
    </row>
    <row r="19" spans="2:14" ht="32.25" customHeight="1" thickBot="1" x14ac:dyDescent="0.3">
      <c r="B19" s="127" t="s">
        <v>235</v>
      </c>
      <c r="C19" s="128"/>
      <c r="D19" s="128"/>
      <c r="E19" s="128"/>
      <c r="F19" s="128"/>
      <c r="G19" s="128"/>
      <c r="H19" s="128"/>
      <c r="I19" s="128"/>
      <c r="J19" s="128"/>
      <c r="K19" s="128"/>
      <c r="L19" s="128"/>
      <c r="M19" s="128"/>
      <c r="N19" s="129"/>
    </row>
    <row r="20" spans="2:14" x14ac:dyDescent="0.25">
      <c r="B20" s="49" t="s">
        <v>153</v>
      </c>
      <c r="C20" s="44"/>
      <c r="D20" s="44"/>
      <c r="E20" s="44"/>
      <c r="F20" s="44"/>
      <c r="G20" s="44"/>
      <c r="H20" s="44"/>
      <c r="I20" s="44"/>
      <c r="J20" s="44"/>
      <c r="K20" s="44"/>
      <c r="L20" s="44"/>
      <c r="M20" s="44"/>
      <c r="N20" s="41"/>
    </row>
    <row r="21" spans="2:14" x14ac:dyDescent="0.25">
      <c r="B21" s="42" t="s">
        <v>172</v>
      </c>
      <c r="C21" s="44"/>
      <c r="D21" s="44"/>
      <c r="E21" s="44"/>
      <c r="F21" s="44"/>
      <c r="G21" s="44"/>
      <c r="H21" s="44"/>
      <c r="I21" s="44"/>
      <c r="J21" s="44"/>
      <c r="K21" s="44"/>
      <c r="L21" s="44"/>
      <c r="M21" s="44"/>
      <c r="N21" s="41"/>
    </row>
    <row r="22" spans="2:14" x14ac:dyDescent="0.25">
      <c r="B22" s="42"/>
      <c r="C22" s="44"/>
      <c r="D22" s="44"/>
      <c r="E22" s="44"/>
      <c r="F22" s="44"/>
      <c r="G22" s="44"/>
      <c r="H22" s="44"/>
      <c r="I22" s="44"/>
      <c r="J22" s="44"/>
      <c r="K22" s="44"/>
      <c r="L22" s="44"/>
      <c r="M22" s="44"/>
      <c r="N22" s="41"/>
    </row>
    <row r="23" spans="2:14" x14ac:dyDescent="0.25">
      <c r="B23" s="49" t="s">
        <v>237</v>
      </c>
      <c r="C23" s="44"/>
      <c r="D23" s="44"/>
      <c r="E23" s="44"/>
      <c r="F23" s="44"/>
      <c r="G23" s="44"/>
      <c r="H23" s="44"/>
      <c r="I23" s="44"/>
      <c r="J23" s="44"/>
      <c r="K23" s="44"/>
      <c r="L23" s="44"/>
      <c r="M23" s="44"/>
      <c r="N23" s="41"/>
    </row>
    <row r="24" spans="2:14" x14ac:dyDescent="0.25">
      <c r="B24" s="42" t="s">
        <v>227</v>
      </c>
      <c r="C24" s="44"/>
      <c r="D24" s="44"/>
      <c r="E24" s="44"/>
      <c r="F24" s="44"/>
      <c r="G24" s="44"/>
      <c r="H24" s="44"/>
      <c r="I24" s="44"/>
      <c r="J24" s="44"/>
      <c r="K24" s="44"/>
      <c r="L24" s="44"/>
      <c r="M24" s="44"/>
      <c r="N24" s="41"/>
    </row>
    <row r="25" spans="2:14" x14ac:dyDescent="0.25">
      <c r="B25" s="42" t="s">
        <v>228</v>
      </c>
      <c r="C25" s="44"/>
      <c r="D25" s="44"/>
      <c r="E25" s="44"/>
      <c r="F25" s="44"/>
      <c r="G25" s="44"/>
      <c r="H25" s="44"/>
      <c r="I25" s="44"/>
      <c r="J25" s="44"/>
      <c r="K25" s="44"/>
      <c r="L25" s="44"/>
      <c r="M25" s="44"/>
      <c r="N25" s="41"/>
    </row>
    <row r="26" spans="2:14" x14ac:dyDescent="0.25">
      <c r="B26" s="42" t="s">
        <v>226</v>
      </c>
      <c r="C26" s="44"/>
      <c r="D26" s="44"/>
      <c r="E26" s="44"/>
      <c r="F26" s="44"/>
      <c r="G26" s="44"/>
      <c r="H26" s="44"/>
      <c r="I26" s="44"/>
      <c r="J26" s="44"/>
      <c r="K26" s="44"/>
      <c r="L26" s="44"/>
      <c r="M26" s="44"/>
      <c r="N26" s="41"/>
    </row>
    <row r="27" spans="2:14" x14ac:dyDescent="0.25">
      <c r="B27" s="42" t="s">
        <v>224</v>
      </c>
      <c r="C27" s="44"/>
      <c r="D27" s="44"/>
      <c r="E27" s="44"/>
      <c r="F27" s="44"/>
      <c r="G27" s="44"/>
      <c r="H27" s="44"/>
      <c r="I27" s="44"/>
      <c r="J27" s="44"/>
      <c r="K27" s="44"/>
      <c r="L27" s="44"/>
      <c r="M27" s="44"/>
      <c r="N27" s="41"/>
    </row>
    <row r="28" spans="2:14" x14ac:dyDescent="0.25">
      <c r="B28" s="42" t="s">
        <v>225</v>
      </c>
      <c r="C28" s="44"/>
      <c r="D28" s="44"/>
      <c r="E28" s="44"/>
      <c r="F28" s="44"/>
      <c r="G28" s="44"/>
      <c r="H28" s="44"/>
      <c r="I28" s="44"/>
      <c r="J28" s="44"/>
      <c r="K28" s="44"/>
      <c r="L28" s="44"/>
      <c r="M28" s="44"/>
      <c r="N28" s="41"/>
    </row>
    <row r="29" spans="2:14" x14ac:dyDescent="0.25">
      <c r="B29" s="42" t="s">
        <v>154</v>
      </c>
      <c r="C29" s="44"/>
      <c r="D29" s="44"/>
      <c r="E29" s="44"/>
      <c r="F29" s="44"/>
      <c r="G29" s="44"/>
      <c r="H29" s="44"/>
      <c r="I29" s="44"/>
      <c r="J29" s="44"/>
      <c r="K29" s="44"/>
      <c r="L29" s="44"/>
      <c r="M29" s="44"/>
      <c r="N29" s="41"/>
    </row>
    <row r="30" spans="2:14" x14ac:dyDescent="0.25">
      <c r="B30" s="42"/>
      <c r="C30" s="44" t="s">
        <v>242</v>
      </c>
      <c r="D30" s="44"/>
      <c r="E30" s="44"/>
      <c r="F30" s="44"/>
      <c r="G30" s="44"/>
      <c r="H30" s="44"/>
      <c r="I30" s="44"/>
      <c r="J30" s="44"/>
      <c r="K30" s="44"/>
      <c r="L30" s="44"/>
      <c r="M30" s="44"/>
      <c r="N30" s="41"/>
    </row>
    <row r="31" spans="2:14" x14ac:dyDescent="0.25">
      <c r="B31" s="42"/>
      <c r="C31" s="44" t="s">
        <v>155</v>
      </c>
      <c r="D31" s="44"/>
      <c r="E31" s="44"/>
      <c r="F31" s="44"/>
      <c r="G31" s="44"/>
      <c r="H31" s="44"/>
      <c r="I31" s="44"/>
      <c r="J31" s="44"/>
      <c r="K31" s="44"/>
      <c r="L31" s="44"/>
      <c r="M31" s="44"/>
      <c r="N31" s="41"/>
    </row>
    <row r="32" spans="2:14" x14ac:dyDescent="0.25">
      <c r="B32" s="42"/>
      <c r="C32" s="44" t="s">
        <v>156</v>
      </c>
      <c r="D32" s="44"/>
      <c r="E32" s="44"/>
      <c r="F32" s="44"/>
      <c r="G32" s="44"/>
      <c r="H32" s="44"/>
      <c r="I32" s="44"/>
      <c r="J32" s="44"/>
      <c r="K32" s="44"/>
      <c r="L32" s="44"/>
      <c r="M32" s="44"/>
      <c r="N32" s="41"/>
    </row>
    <row r="33" spans="2:14" x14ac:dyDescent="0.25">
      <c r="B33" s="42"/>
      <c r="C33" s="44" t="s">
        <v>157</v>
      </c>
      <c r="D33" s="44"/>
      <c r="E33" s="44"/>
      <c r="F33" s="44"/>
      <c r="G33" s="44"/>
      <c r="H33" s="44"/>
      <c r="I33" s="44"/>
      <c r="J33" s="44"/>
      <c r="K33" s="44"/>
      <c r="L33" s="44"/>
      <c r="M33" s="44"/>
      <c r="N33" s="41"/>
    </row>
    <row r="34" spans="2:14" x14ac:dyDescent="0.25">
      <c r="B34" s="42" t="s">
        <v>158</v>
      </c>
      <c r="C34" s="44"/>
      <c r="D34" s="44"/>
      <c r="E34" s="44"/>
      <c r="F34" s="44"/>
      <c r="G34" s="44"/>
      <c r="H34" s="44"/>
      <c r="I34" s="44"/>
      <c r="J34" s="44"/>
      <c r="K34" s="44"/>
      <c r="L34" s="44"/>
      <c r="M34" s="44"/>
      <c r="N34" s="41"/>
    </row>
    <row r="35" spans="2:14" x14ac:dyDescent="0.25">
      <c r="B35" s="42"/>
      <c r="C35" s="44" t="s">
        <v>159</v>
      </c>
      <c r="D35" s="44"/>
      <c r="E35" s="44"/>
      <c r="F35" s="44"/>
      <c r="G35" s="44"/>
      <c r="H35" s="44"/>
      <c r="I35" s="44"/>
      <c r="J35" s="44"/>
      <c r="K35" s="44"/>
      <c r="L35" s="44"/>
      <c r="M35" s="44"/>
      <c r="N35" s="41"/>
    </row>
    <row r="36" spans="2:14" x14ac:dyDescent="0.25">
      <c r="B36" s="42"/>
      <c r="C36" s="44" t="s">
        <v>243</v>
      </c>
      <c r="D36" s="44"/>
      <c r="E36" s="44"/>
      <c r="F36" s="44"/>
      <c r="G36" s="44"/>
      <c r="H36" s="44"/>
      <c r="I36" s="44"/>
      <c r="J36" s="44"/>
      <c r="K36" s="44"/>
      <c r="L36" s="44"/>
      <c r="M36" s="44"/>
      <c r="N36" s="41"/>
    </row>
    <row r="37" spans="2:14" x14ac:dyDescent="0.25">
      <c r="B37" s="42"/>
      <c r="C37" s="44" t="s">
        <v>155</v>
      </c>
      <c r="D37" s="44"/>
      <c r="E37" s="44"/>
      <c r="F37" s="44"/>
      <c r="G37" s="44"/>
      <c r="H37" s="44"/>
      <c r="I37" s="44"/>
      <c r="J37" s="44"/>
      <c r="K37" s="44"/>
      <c r="L37" s="44"/>
      <c r="M37" s="44"/>
      <c r="N37" s="41"/>
    </row>
    <row r="38" spans="2:14" x14ac:dyDescent="0.25">
      <c r="B38" s="42"/>
      <c r="C38" s="44" t="s">
        <v>156</v>
      </c>
      <c r="D38" s="44"/>
      <c r="E38" s="44"/>
      <c r="F38" s="44"/>
      <c r="G38" s="44"/>
      <c r="H38" s="44"/>
      <c r="I38" s="44"/>
      <c r="J38" s="44"/>
      <c r="K38" s="44"/>
      <c r="L38" s="44"/>
      <c r="M38" s="44"/>
      <c r="N38" s="41"/>
    </row>
    <row r="39" spans="2:14" x14ac:dyDescent="0.25">
      <c r="B39" s="42"/>
      <c r="C39" s="44" t="s">
        <v>157</v>
      </c>
      <c r="D39" s="44"/>
      <c r="E39" s="44"/>
      <c r="F39" s="44"/>
      <c r="G39" s="44"/>
      <c r="H39" s="44"/>
      <c r="I39" s="44"/>
      <c r="J39" s="44"/>
      <c r="K39" s="44"/>
      <c r="L39" s="44"/>
      <c r="M39" s="44"/>
      <c r="N39" s="41"/>
    </row>
    <row r="40" spans="2:14" x14ac:dyDescent="0.25">
      <c r="B40" s="42"/>
      <c r="C40" s="44"/>
      <c r="D40" s="44"/>
      <c r="E40" s="44"/>
      <c r="F40" s="44"/>
      <c r="G40" s="44"/>
      <c r="H40" s="44"/>
      <c r="I40" s="44"/>
      <c r="J40" s="44"/>
      <c r="K40" s="44"/>
      <c r="L40" s="44"/>
      <c r="M40" s="44"/>
      <c r="N40" s="41"/>
    </row>
    <row r="41" spans="2:14" x14ac:dyDescent="0.25">
      <c r="B41" s="49" t="s">
        <v>229</v>
      </c>
      <c r="C41" s="44"/>
      <c r="D41" s="44"/>
      <c r="E41" s="44"/>
      <c r="F41" s="44"/>
      <c r="G41" s="44"/>
      <c r="H41" s="44"/>
      <c r="I41" s="44"/>
      <c r="J41" s="44"/>
      <c r="K41" s="44"/>
      <c r="L41" s="44"/>
      <c r="M41" s="44"/>
      <c r="N41" s="41"/>
    </row>
    <row r="42" spans="2:14" ht="38.25" customHeight="1" thickBot="1" x14ac:dyDescent="0.3">
      <c r="B42" s="130" t="s">
        <v>236</v>
      </c>
      <c r="C42" s="131"/>
      <c r="D42" s="131"/>
      <c r="E42" s="131"/>
      <c r="F42" s="131"/>
      <c r="G42" s="131"/>
      <c r="H42" s="131"/>
      <c r="I42" s="131"/>
      <c r="J42" s="131"/>
      <c r="K42" s="131"/>
      <c r="L42" s="131"/>
      <c r="M42" s="131"/>
      <c r="N42" s="132"/>
    </row>
    <row r="43" spans="2:14" x14ac:dyDescent="0.25">
      <c r="B43" s="124" t="s">
        <v>160</v>
      </c>
      <c r="C43" s="48"/>
      <c r="D43" s="48"/>
      <c r="E43" s="48"/>
      <c r="F43" s="48"/>
      <c r="G43" s="48"/>
      <c r="H43" s="48"/>
      <c r="I43" s="48"/>
      <c r="J43" s="48"/>
      <c r="K43" s="48"/>
      <c r="L43" s="48"/>
      <c r="M43" s="48"/>
      <c r="N43" s="37"/>
    </row>
    <row r="44" spans="2:14" x14ac:dyDescent="0.25">
      <c r="B44" s="50" t="s">
        <v>161</v>
      </c>
      <c r="C44" s="44"/>
      <c r="D44" s="44"/>
      <c r="E44" s="44"/>
      <c r="F44" s="44"/>
      <c r="G44" s="44"/>
      <c r="H44" s="44"/>
      <c r="I44" s="44"/>
      <c r="J44" s="44"/>
      <c r="K44" s="44"/>
      <c r="L44" s="44"/>
      <c r="M44" s="44"/>
      <c r="N44" s="41"/>
    </row>
    <row r="45" spans="2:14" x14ac:dyDescent="0.25">
      <c r="B45" s="61" t="s">
        <v>162</v>
      </c>
      <c r="C45" s="33"/>
      <c r="D45" s="33"/>
      <c r="E45" s="33"/>
      <c r="F45" s="33"/>
      <c r="G45" s="33"/>
      <c r="H45" s="33"/>
      <c r="I45" s="33"/>
      <c r="J45" s="33"/>
      <c r="K45" s="33"/>
      <c r="L45" s="44"/>
      <c r="M45" s="44"/>
      <c r="N45" s="41"/>
    </row>
    <row r="46" spans="2:14" x14ac:dyDescent="0.25">
      <c r="B46" s="50" t="s">
        <v>163</v>
      </c>
      <c r="C46" s="44"/>
      <c r="D46" s="44"/>
      <c r="E46" s="44"/>
      <c r="F46" s="44"/>
      <c r="G46" s="44"/>
      <c r="H46" s="44"/>
      <c r="I46" s="44"/>
      <c r="J46" s="44"/>
      <c r="K46" s="44"/>
      <c r="L46" s="44"/>
      <c r="M46" s="44"/>
      <c r="N46" s="41"/>
    </row>
    <row r="47" spans="2:14" x14ac:dyDescent="0.25">
      <c r="B47" s="50" t="s">
        <v>164</v>
      </c>
      <c r="C47" s="44"/>
      <c r="D47" s="44"/>
      <c r="E47" s="44"/>
      <c r="F47" s="44"/>
      <c r="G47" s="44"/>
      <c r="H47" s="44"/>
      <c r="I47" s="44"/>
      <c r="J47" s="44"/>
      <c r="K47" s="44"/>
      <c r="L47" s="44"/>
      <c r="M47" s="44"/>
      <c r="N47" s="41"/>
    </row>
    <row r="48" spans="2:14" ht="15.75" thickBot="1" x14ac:dyDescent="0.3">
      <c r="B48" s="51"/>
      <c r="C48" s="46"/>
      <c r="D48" s="46"/>
      <c r="E48" s="46"/>
      <c r="F48" s="46"/>
      <c r="G48" s="46"/>
      <c r="H48" s="46"/>
      <c r="I48" s="46"/>
      <c r="J48" s="46"/>
      <c r="K48" s="46"/>
      <c r="L48" s="46"/>
      <c r="M48" s="46"/>
      <c r="N48" s="47"/>
    </row>
    <row r="49" spans="2:14" x14ac:dyDescent="0.25">
      <c r="B49" s="52"/>
      <c r="C49" s="48"/>
      <c r="D49" s="48"/>
      <c r="E49" s="48"/>
      <c r="F49" s="48"/>
      <c r="G49" s="48"/>
      <c r="H49" s="48"/>
      <c r="I49" s="48"/>
      <c r="J49" s="48"/>
      <c r="K49" s="48"/>
      <c r="L49" s="48"/>
      <c r="M49" s="48"/>
      <c r="N49" s="37"/>
    </row>
    <row r="50" spans="2:14" x14ac:dyDescent="0.25">
      <c r="B50" s="53" t="s">
        <v>165</v>
      </c>
      <c r="C50" s="44"/>
      <c r="D50" s="44"/>
      <c r="E50" s="44"/>
      <c r="F50" s="44"/>
      <c r="G50" s="44"/>
      <c r="H50" s="44"/>
      <c r="I50" s="44"/>
      <c r="J50" s="44"/>
      <c r="K50" s="44"/>
      <c r="L50" s="44"/>
      <c r="M50" s="44"/>
      <c r="N50" s="41"/>
    </row>
    <row r="51" spans="2:14" x14ac:dyDescent="0.25">
      <c r="B51" s="50" t="s">
        <v>166</v>
      </c>
      <c r="C51" s="44"/>
      <c r="D51" s="44"/>
      <c r="E51" s="44"/>
      <c r="F51" s="44"/>
      <c r="G51" s="44"/>
      <c r="H51" s="44"/>
      <c r="I51" s="44"/>
      <c r="J51" s="44"/>
      <c r="K51" s="44"/>
      <c r="L51" s="44"/>
      <c r="M51" s="44"/>
      <c r="N51" s="41"/>
    </row>
    <row r="52" spans="2:14" ht="15.75" thickBot="1" x14ac:dyDescent="0.3">
      <c r="B52" s="51"/>
      <c r="C52" s="46"/>
      <c r="D52" s="46"/>
      <c r="E52" s="46"/>
      <c r="F52" s="46"/>
      <c r="G52" s="46"/>
      <c r="H52" s="46"/>
      <c r="I52" s="46"/>
      <c r="J52" s="46"/>
      <c r="K52" s="46"/>
      <c r="L52" s="46"/>
      <c r="M52" s="46"/>
      <c r="N52" s="47"/>
    </row>
    <row r="53" spans="2:14" x14ac:dyDescent="0.25">
      <c r="B53" s="50"/>
      <c r="C53" s="44"/>
      <c r="D53" s="44"/>
      <c r="E53" s="44"/>
      <c r="F53" s="44"/>
      <c r="G53" s="44"/>
      <c r="H53" s="44"/>
      <c r="I53" s="44"/>
      <c r="J53" s="44"/>
      <c r="K53" s="44"/>
      <c r="L53" s="44"/>
      <c r="M53" s="44"/>
      <c r="N53" s="41"/>
    </row>
    <row r="54" spans="2:14" x14ac:dyDescent="0.25">
      <c r="B54" s="53" t="s">
        <v>186</v>
      </c>
      <c r="C54" s="44"/>
      <c r="D54" s="44"/>
      <c r="E54" s="44"/>
      <c r="F54" s="44"/>
      <c r="G54" s="44"/>
      <c r="H54" s="44"/>
      <c r="I54" s="44"/>
      <c r="J54" s="44"/>
      <c r="K54" s="44"/>
      <c r="L54" s="44"/>
      <c r="M54" s="44"/>
      <c r="N54" s="41"/>
    </row>
    <row r="55" spans="2:14" x14ac:dyDescent="0.25">
      <c r="B55" s="50" t="s">
        <v>167</v>
      </c>
      <c r="C55" s="44"/>
      <c r="D55" s="44"/>
      <c r="E55" s="44"/>
      <c r="F55" s="44"/>
      <c r="G55" s="44"/>
      <c r="H55" s="44"/>
      <c r="I55" s="44"/>
      <c r="J55" s="44"/>
      <c r="K55" s="44"/>
      <c r="L55" s="44"/>
      <c r="M55" s="44"/>
      <c r="N55" s="41"/>
    </row>
    <row r="56" spans="2:14" x14ac:dyDescent="0.25">
      <c r="B56" s="50" t="s">
        <v>168</v>
      </c>
      <c r="C56" s="44"/>
      <c r="D56" s="44"/>
      <c r="E56" s="44"/>
      <c r="F56" s="44"/>
      <c r="G56" s="44"/>
      <c r="H56" s="44"/>
      <c r="I56" s="44"/>
      <c r="J56" s="44"/>
      <c r="K56" s="44"/>
      <c r="L56" s="44"/>
      <c r="M56" s="44"/>
      <c r="N56" s="41"/>
    </row>
    <row r="57" spans="2:14" x14ac:dyDescent="0.25">
      <c r="B57" s="50" t="s">
        <v>169</v>
      </c>
      <c r="C57" s="44"/>
      <c r="D57" s="44"/>
      <c r="E57" s="44"/>
      <c r="F57" s="44"/>
      <c r="G57" s="44"/>
      <c r="H57" s="44"/>
      <c r="I57" s="44"/>
      <c r="J57" s="44"/>
      <c r="K57" s="44"/>
      <c r="L57" s="44"/>
      <c r="M57" s="44"/>
      <c r="N57" s="41"/>
    </row>
    <row r="58" spans="2:14" ht="15.75" thickBot="1" x14ac:dyDescent="0.3">
      <c r="B58" s="50" t="s">
        <v>170</v>
      </c>
      <c r="C58" s="44"/>
      <c r="D58" s="44"/>
      <c r="E58" s="44"/>
      <c r="F58" s="44"/>
      <c r="G58" s="44"/>
      <c r="H58" s="44"/>
      <c r="I58" s="44"/>
      <c r="J58" s="44"/>
      <c r="K58" s="44"/>
      <c r="L58" s="44"/>
      <c r="M58" s="44"/>
      <c r="N58" s="41"/>
    </row>
    <row r="59" spans="2:14" x14ac:dyDescent="0.25">
      <c r="B59" s="52"/>
      <c r="C59" s="48"/>
      <c r="D59" s="48"/>
      <c r="E59" s="48"/>
      <c r="F59" s="48"/>
      <c r="G59" s="48"/>
      <c r="H59" s="48"/>
      <c r="I59" s="48"/>
      <c r="J59" s="48"/>
      <c r="K59" s="48"/>
      <c r="L59" s="48"/>
      <c r="M59" s="48"/>
      <c r="N59" s="37"/>
    </row>
    <row r="60" spans="2:14" x14ac:dyDescent="0.25">
      <c r="B60" s="53" t="s">
        <v>206</v>
      </c>
      <c r="C60" s="44"/>
      <c r="D60" s="44"/>
      <c r="E60" s="44"/>
      <c r="F60" s="44"/>
      <c r="G60" s="44"/>
      <c r="H60" s="44"/>
      <c r="I60" s="44"/>
      <c r="J60" s="44"/>
      <c r="K60" s="44"/>
      <c r="L60" s="44"/>
      <c r="M60" s="44"/>
      <c r="N60" s="41"/>
    </row>
    <row r="61" spans="2:14" x14ac:dyDescent="0.25">
      <c r="B61" s="50" t="s">
        <v>207</v>
      </c>
      <c r="C61" s="44"/>
      <c r="D61" s="44"/>
      <c r="E61" s="44"/>
      <c r="F61" s="44"/>
      <c r="G61" s="44"/>
      <c r="H61" s="44"/>
      <c r="I61" s="44"/>
      <c r="J61" s="44"/>
      <c r="K61" s="44"/>
      <c r="L61" s="44"/>
      <c r="M61" s="44"/>
      <c r="N61" s="41"/>
    </row>
    <row r="62" spans="2:14" x14ac:dyDescent="0.25">
      <c r="B62" s="50" t="s">
        <v>208</v>
      </c>
      <c r="C62" s="44"/>
      <c r="D62" s="44"/>
      <c r="E62" s="44"/>
      <c r="F62" s="44"/>
      <c r="G62" s="44"/>
      <c r="H62" s="44"/>
      <c r="I62" s="44"/>
      <c r="J62" s="44"/>
      <c r="K62" s="44"/>
      <c r="L62" s="44"/>
      <c r="M62" s="44"/>
      <c r="N62" s="41"/>
    </row>
    <row r="63" spans="2:14" ht="15.75" thickBot="1" x14ac:dyDescent="0.3">
      <c r="B63" s="51"/>
      <c r="C63" s="46"/>
      <c r="D63" s="46"/>
      <c r="E63" s="46"/>
      <c r="F63" s="46"/>
      <c r="G63" s="46"/>
      <c r="H63" s="46"/>
      <c r="I63" s="46"/>
      <c r="J63" s="46"/>
      <c r="K63" s="46"/>
      <c r="L63" s="46"/>
      <c r="M63" s="46"/>
      <c r="N63" s="47"/>
    </row>
    <row r="64" spans="2:14" x14ac:dyDescent="0.25">
      <c r="B64" s="54" t="s">
        <v>118</v>
      </c>
      <c r="C64" s="48"/>
      <c r="D64" s="48"/>
      <c r="E64" s="48"/>
      <c r="F64" s="48"/>
      <c r="G64" s="48"/>
      <c r="H64" s="48"/>
      <c r="I64" s="48"/>
      <c r="J64" s="48"/>
      <c r="K64" s="48"/>
      <c r="L64" s="48"/>
      <c r="M64" s="48"/>
      <c r="N64" s="37"/>
    </row>
    <row r="65" spans="2:14" x14ac:dyDescent="0.25">
      <c r="B65" s="50" t="s">
        <v>181</v>
      </c>
      <c r="C65" s="44"/>
      <c r="D65" s="44"/>
      <c r="E65" s="44"/>
      <c r="F65" s="44"/>
      <c r="G65" s="44"/>
      <c r="H65" s="44"/>
      <c r="I65" s="44"/>
      <c r="J65" s="44"/>
      <c r="K65" s="44"/>
      <c r="L65" s="44"/>
      <c r="M65" s="44"/>
      <c r="N65" s="41"/>
    </row>
    <row r="66" spans="2:14" x14ac:dyDescent="0.25">
      <c r="B66" s="50" t="s">
        <v>179</v>
      </c>
      <c r="C66" s="44"/>
      <c r="D66" s="44"/>
      <c r="E66" s="44"/>
      <c r="F66" s="44"/>
      <c r="G66" s="44"/>
      <c r="H66" s="44"/>
      <c r="I66" s="44"/>
      <c r="J66" s="44"/>
      <c r="K66" s="44"/>
      <c r="L66" s="44"/>
      <c r="M66" s="44"/>
      <c r="N66" s="41"/>
    </row>
    <row r="67" spans="2:14" x14ac:dyDescent="0.25">
      <c r="B67" s="50" t="s">
        <v>180</v>
      </c>
      <c r="C67" s="44"/>
      <c r="D67" s="44"/>
      <c r="E67" s="44"/>
      <c r="F67" s="44"/>
      <c r="G67" s="44"/>
      <c r="H67" s="44"/>
      <c r="I67" s="44"/>
      <c r="J67" s="44"/>
      <c r="K67" s="44"/>
      <c r="L67" s="44"/>
      <c r="M67" s="44"/>
      <c r="N67" s="41"/>
    </row>
    <row r="68" spans="2:14" x14ac:dyDescent="0.25">
      <c r="B68" s="55"/>
      <c r="C68" s="56"/>
      <c r="D68" s="56"/>
      <c r="E68" s="56"/>
      <c r="F68" s="56"/>
      <c r="G68" s="56"/>
      <c r="H68" s="56"/>
      <c r="I68" s="56"/>
      <c r="J68" s="56"/>
      <c r="K68" s="56"/>
      <c r="L68" s="56"/>
      <c r="M68" s="56"/>
      <c r="N68" s="57"/>
    </row>
    <row r="69" spans="2:14" x14ac:dyDescent="0.25">
      <c r="B69" s="50" t="s">
        <v>182</v>
      </c>
      <c r="C69" s="56"/>
      <c r="D69" s="56"/>
      <c r="E69" s="56"/>
      <c r="F69" s="56"/>
      <c r="G69" s="56"/>
      <c r="H69" s="56"/>
      <c r="I69" s="56"/>
      <c r="J69" s="56"/>
      <c r="K69" s="56"/>
      <c r="L69" s="56"/>
      <c r="M69" s="56"/>
      <c r="N69" s="57"/>
    </row>
    <row r="70" spans="2:14" x14ac:dyDescent="0.25">
      <c r="B70" s="50" t="s">
        <v>183</v>
      </c>
      <c r="C70" s="56"/>
      <c r="D70" s="56"/>
      <c r="E70" s="56"/>
      <c r="F70" s="56"/>
      <c r="G70" s="56"/>
      <c r="H70" s="56"/>
      <c r="I70" s="56"/>
      <c r="J70" s="56"/>
      <c r="K70" s="56"/>
      <c r="L70" s="56"/>
      <c r="M70" s="56"/>
      <c r="N70" s="57"/>
    </row>
    <row r="71" spans="2:14" x14ac:dyDescent="0.25">
      <c r="B71" s="55"/>
      <c r="C71" s="56"/>
      <c r="D71" s="56"/>
      <c r="E71" s="56"/>
      <c r="F71" s="56"/>
      <c r="G71" s="56"/>
      <c r="H71" s="56"/>
      <c r="I71" s="56"/>
      <c r="J71" s="56"/>
      <c r="K71" s="56"/>
      <c r="L71" s="56"/>
      <c r="M71" s="56"/>
      <c r="N71" s="57"/>
    </row>
    <row r="72" spans="2:14" x14ac:dyDescent="0.25">
      <c r="B72" s="50" t="s">
        <v>184</v>
      </c>
      <c r="C72" s="56"/>
      <c r="D72" s="56"/>
      <c r="E72" s="56"/>
      <c r="F72" s="56"/>
      <c r="G72" s="56"/>
      <c r="H72" s="56"/>
      <c r="I72" s="56"/>
      <c r="J72" s="56"/>
      <c r="K72" s="56"/>
      <c r="L72" s="56"/>
      <c r="M72" s="56"/>
      <c r="N72" s="57"/>
    </row>
    <row r="73" spans="2:14" ht="15.75" thickBot="1" x14ac:dyDescent="0.3">
      <c r="B73" s="51" t="s">
        <v>185</v>
      </c>
      <c r="C73" s="58"/>
      <c r="D73" s="58"/>
      <c r="E73" s="58"/>
      <c r="F73" s="58"/>
      <c r="G73" s="58"/>
      <c r="H73" s="58"/>
      <c r="I73" s="58"/>
      <c r="J73" s="58"/>
      <c r="K73" s="58"/>
      <c r="L73" s="58"/>
      <c r="M73" s="58"/>
      <c r="N73" s="59"/>
    </row>
    <row r="75" spans="2:14" ht="15.75" x14ac:dyDescent="0.25">
      <c r="C75" s="125"/>
    </row>
  </sheetData>
  <sheetProtection sheet="1" objects="1" scenarios="1"/>
  <mergeCells count="8">
    <mergeCell ref="B19:N19"/>
    <mergeCell ref="B18:N18"/>
    <mergeCell ref="B42:N42"/>
    <mergeCell ref="B2:N2"/>
    <mergeCell ref="B17:N17"/>
    <mergeCell ref="B14:C14"/>
    <mergeCell ref="B16:N16"/>
    <mergeCell ref="B15:N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1"/>
  <sheetViews>
    <sheetView topLeftCell="A61" workbookViewId="0">
      <selection activeCell="B96" sqref="B96"/>
    </sheetView>
  </sheetViews>
  <sheetFormatPr defaultColWidth="8.875" defaultRowHeight="15" x14ac:dyDescent="0.25"/>
  <cols>
    <col min="1" max="2" width="8.875" style="20"/>
    <col min="3" max="3" width="30.625" style="20" bestFit="1" customWidth="1"/>
    <col min="4" max="4" width="30.625" style="20" customWidth="1"/>
    <col min="5" max="5" width="11.875" style="20" bestFit="1" customWidth="1"/>
    <col min="6" max="6" width="13.375" style="20" bestFit="1" customWidth="1"/>
    <col min="7" max="7" width="8.875" style="20"/>
    <col min="8" max="9" width="12" style="20" customWidth="1"/>
    <col min="10" max="10" width="8.875" style="20"/>
    <col min="11" max="11" width="15" style="20" bestFit="1" customWidth="1"/>
    <col min="12" max="12" width="10.375" style="28" bestFit="1" customWidth="1"/>
    <col min="13" max="16384" width="8.875" style="20"/>
  </cols>
  <sheetData>
    <row r="1" spans="1:12" x14ac:dyDescent="0.25">
      <c r="A1" s="21" t="s">
        <v>42</v>
      </c>
      <c r="B1" s="21" t="s">
        <v>132</v>
      </c>
      <c r="C1" s="21" t="s">
        <v>121</v>
      </c>
      <c r="D1" s="21" t="s">
        <v>173</v>
      </c>
      <c r="E1" s="19" t="s">
        <v>174</v>
      </c>
      <c r="F1" s="19" t="s">
        <v>175</v>
      </c>
      <c r="G1" s="19" t="s">
        <v>176</v>
      </c>
      <c r="H1" s="19" t="s">
        <v>125</v>
      </c>
      <c r="I1" s="19" t="s">
        <v>214</v>
      </c>
      <c r="J1" s="19" t="s">
        <v>114</v>
      </c>
      <c r="K1" s="19" t="s">
        <v>177</v>
      </c>
      <c r="L1" s="19" t="s">
        <v>178</v>
      </c>
    </row>
    <row r="2" spans="1:12" x14ac:dyDescent="0.25">
      <c r="A2" s="22">
        <v>1</v>
      </c>
      <c r="B2" s="23"/>
      <c r="C2" s="24"/>
      <c r="D2" s="24"/>
      <c r="E2" s="25"/>
      <c r="F2" s="26"/>
      <c r="G2" s="26"/>
      <c r="H2" s="26"/>
      <c r="I2" s="26"/>
      <c r="J2" s="26"/>
      <c r="K2" s="26"/>
      <c r="L2" s="26"/>
    </row>
    <row r="3" spans="1:12" x14ac:dyDescent="0.25">
      <c r="A3" s="27">
        <v>2</v>
      </c>
      <c r="B3" s="23"/>
      <c r="C3" s="24"/>
      <c r="D3" s="24"/>
      <c r="E3" s="25"/>
      <c r="F3" s="26"/>
      <c r="G3" s="26"/>
      <c r="H3" s="26"/>
      <c r="I3" s="26"/>
      <c r="J3" s="26"/>
      <c r="K3" s="26"/>
      <c r="L3" s="26"/>
    </row>
    <row r="4" spans="1:12" x14ac:dyDescent="0.25">
      <c r="A4" s="22">
        <v>3</v>
      </c>
      <c r="B4" s="23"/>
      <c r="C4" s="24"/>
      <c r="D4" s="24"/>
      <c r="E4" s="25"/>
      <c r="F4" s="26"/>
      <c r="G4" s="26"/>
      <c r="H4" s="26"/>
      <c r="I4" s="26"/>
      <c r="J4" s="26"/>
      <c r="K4" s="26"/>
      <c r="L4" s="26"/>
    </row>
    <row r="5" spans="1:12" x14ac:dyDescent="0.25">
      <c r="A5" s="27">
        <v>4</v>
      </c>
      <c r="B5" s="23"/>
      <c r="C5" s="24"/>
      <c r="D5" s="24"/>
      <c r="E5" s="25"/>
      <c r="F5" s="26"/>
      <c r="G5" s="26"/>
      <c r="H5" s="26"/>
      <c r="I5" s="26"/>
      <c r="J5" s="26"/>
      <c r="K5" s="26"/>
      <c r="L5" s="26"/>
    </row>
    <row r="6" spans="1:12" x14ac:dyDescent="0.25">
      <c r="A6" s="22">
        <v>5</v>
      </c>
      <c r="B6" s="23"/>
      <c r="C6" s="24"/>
      <c r="D6" s="24"/>
      <c r="E6" s="25"/>
      <c r="F6" s="26"/>
      <c r="G6" s="26"/>
      <c r="H6" s="26"/>
      <c r="I6" s="26"/>
      <c r="J6" s="26"/>
      <c r="K6" s="26"/>
      <c r="L6" s="26"/>
    </row>
    <row r="7" spans="1:12" x14ac:dyDescent="0.25">
      <c r="A7" s="27">
        <v>6</v>
      </c>
      <c r="B7" s="23"/>
      <c r="C7" s="24"/>
      <c r="D7" s="24"/>
      <c r="E7" s="25"/>
      <c r="F7" s="26"/>
      <c r="G7" s="26"/>
      <c r="H7" s="26"/>
      <c r="I7" s="26"/>
      <c r="J7" s="26"/>
      <c r="K7" s="26"/>
      <c r="L7" s="26"/>
    </row>
    <row r="8" spans="1:12" x14ac:dyDescent="0.25">
      <c r="A8" s="22">
        <v>7</v>
      </c>
      <c r="B8" s="23"/>
      <c r="C8" s="24"/>
      <c r="D8" s="24"/>
      <c r="E8" s="25"/>
      <c r="F8" s="26"/>
      <c r="G8" s="26"/>
      <c r="H8" s="26"/>
      <c r="I8" s="26"/>
      <c r="J8" s="26"/>
      <c r="K8" s="26"/>
      <c r="L8" s="26"/>
    </row>
    <row r="9" spans="1:12" x14ac:dyDescent="0.25">
      <c r="A9" s="27">
        <v>8</v>
      </c>
      <c r="B9" s="23"/>
      <c r="C9" s="24"/>
      <c r="D9" s="24"/>
      <c r="E9" s="25"/>
      <c r="F9" s="26"/>
      <c r="G9" s="26"/>
      <c r="H9" s="26"/>
      <c r="I9" s="26"/>
      <c r="J9" s="26"/>
      <c r="K9" s="26"/>
      <c r="L9" s="26"/>
    </row>
    <row r="10" spans="1:12" x14ac:dyDescent="0.25">
      <c r="A10" s="22">
        <v>9</v>
      </c>
      <c r="B10" s="23"/>
      <c r="C10" s="24"/>
      <c r="D10" s="24"/>
      <c r="E10" s="25"/>
      <c r="F10" s="26"/>
      <c r="G10" s="26"/>
      <c r="H10" s="26"/>
      <c r="I10" s="26"/>
      <c r="J10" s="26"/>
      <c r="K10" s="26"/>
      <c r="L10" s="26"/>
    </row>
    <row r="11" spans="1:12" x14ac:dyDescent="0.25">
      <c r="A11" s="27">
        <v>10</v>
      </c>
      <c r="B11" s="23"/>
      <c r="C11" s="24"/>
      <c r="D11" s="24"/>
      <c r="E11" s="25"/>
      <c r="F11" s="26"/>
      <c r="G11" s="26"/>
      <c r="H11" s="26"/>
      <c r="I11" s="26"/>
      <c r="J11" s="26"/>
      <c r="K11" s="26"/>
      <c r="L11" s="26"/>
    </row>
    <row r="12" spans="1:12" x14ac:dyDescent="0.25">
      <c r="A12" s="22">
        <v>11</v>
      </c>
      <c r="B12" s="23"/>
      <c r="C12" s="24"/>
      <c r="D12" s="24"/>
      <c r="E12" s="25"/>
      <c r="F12" s="26"/>
      <c r="G12" s="26"/>
      <c r="H12" s="26"/>
      <c r="I12" s="26"/>
      <c r="J12" s="26"/>
      <c r="K12" s="26"/>
      <c r="L12" s="26"/>
    </row>
    <row r="13" spans="1:12" x14ac:dyDescent="0.25">
      <c r="A13" s="27">
        <v>12</v>
      </c>
      <c r="B13" s="23"/>
      <c r="C13" s="24"/>
      <c r="D13" s="24"/>
      <c r="E13" s="25"/>
      <c r="F13" s="26"/>
      <c r="G13" s="26"/>
      <c r="H13" s="26"/>
      <c r="I13" s="26"/>
      <c r="J13" s="26"/>
      <c r="K13" s="26"/>
      <c r="L13" s="26"/>
    </row>
    <row r="14" spans="1:12" x14ac:dyDescent="0.25">
      <c r="A14" s="22">
        <v>13</v>
      </c>
      <c r="B14" s="23"/>
      <c r="C14" s="24"/>
      <c r="D14" s="24"/>
      <c r="E14" s="25"/>
      <c r="F14" s="26"/>
      <c r="G14" s="26"/>
      <c r="H14" s="26"/>
      <c r="I14" s="26"/>
      <c r="J14" s="26"/>
      <c r="K14" s="26"/>
      <c r="L14" s="26"/>
    </row>
    <row r="15" spans="1:12" x14ac:dyDescent="0.25">
      <c r="A15" s="27">
        <v>14</v>
      </c>
      <c r="B15" s="23"/>
      <c r="C15" s="24"/>
      <c r="D15" s="24"/>
      <c r="E15" s="25"/>
      <c r="F15" s="26"/>
      <c r="G15" s="26"/>
      <c r="H15" s="26"/>
      <c r="I15" s="26"/>
      <c r="J15" s="26"/>
      <c r="K15" s="26"/>
      <c r="L15" s="26"/>
    </row>
    <row r="16" spans="1:12" x14ac:dyDescent="0.25">
      <c r="A16" s="22">
        <v>15</v>
      </c>
      <c r="B16" s="23"/>
      <c r="C16" s="24"/>
      <c r="D16" s="24"/>
      <c r="E16" s="25"/>
      <c r="F16" s="26"/>
      <c r="G16" s="26"/>
      <c r="H16" s="26"/>
      <c r="I16" s="26"/>
      <c r="J16" s="26"/>
      <c r="K16" s="26"/>
      <c r="L16" s="26"/>
    </row>
    <row r="17" spans="1:12" x14ac:dyDescent="0.25">
      <c r="A17" s="27">
        <v>16</v>
      </c>
      <c r="B17" s="23"/>
      <c r="C17" s="24"/>
      <c r="D17" s="24"/>
      <c r="E17" s="25"/>
      <c r="F17" s="26"/>
      <c r="G17" s="26"/>
      <c r="H17" s="26"/>
      <c r="I17" s="26"/>
      <c r="J17" s="26"/>
      <c r="K17" s="26"/>
      <c r="L17" s="26"/>
    </row>
    <row r="18" spans="1:12" x14ac:dyDescent="0.25">
      <c r="A18" s="22">
        <v>17</v>
      </c>
      <c r="B18" s="23"/>
      <c r="C18" s="24"/>
      <c r="D18" s="24"/>
      <c r="E18" s="25"/>
      <c r="F18" s="26"/>
      <c r="G18" s="26"/>
      <c r="H18" s="26"/>
      <c r="I18" s="26"/>
      <c r="J18" s="26"/>
      <c r="K18" s="26"/>
      <c r="L18" s="26"/>
    </row>
    <row r="19" spans="1:12" x14ac:dyDescent="0.25">
      <c r="A19" s="27">
        <v>18</v>
      </c>
      <c r="B19" s="23"/>
      <c r="C19" s="24"/>
      <c r="D19" s="24"/>
      <c r="E19" s="25"/>
      <c r="F19" s="26"/>
      <c r="G19" s="26"/>
      <c r="H19" s="26"/>
      <c r="I19" s="26"/>
      <c r="J19" s="26"/>
      <c r="K19" s="26"/>
      <c r="L19" s="26"/>
    </row>
    <row r="20" spans="1:12" x14ac:dyDescent="0.25">
      <c r="A20" s="22">
        <v>19</v>
      </c>
      <c r="B20" s="23"/>
      <c r="C20" s="24"/>
      <c r="D20" s="24"/>
      <c r="E20" s="25"/>
      <c r="F20" s="26"/>
      <c r="G20" s="26"/>
      <c r="H20" s="26"/>
      <c r="I20" s="26"/>
      <c r="J20" s="26"/>
      <c r="K20" s="26"/>
      <c r="L20" s="26"/>
    </row>
    <row r="21" spans="1:12" x14ac:dyDescent="0.25">
      <c r="A21" s="27">
        <v>20</v>
      </c>
      <c r="B21" s="23"/>
      <c r="C21" s="24"/>
      <c r="D21" s="24"/>
      <c r="E21" s="25"/>
      <c r="F21" s="26"/>
      <c r="G21" s="26"/>
      <c r="H21" s="26"/>
      <c r="I21" s="26"/>
      <c r="J21" s="26"/>
      <c r="K21" s="26"/>
      <c r="L21" s="26"/>
    </row>
    <row r="22" spans="1:12" x14ac:dyDescent="0.25">
      <c r="A22" s="22">
        <v>21</v>
      </c>
      <c r="B22" s="23"/>
      <c r="C22" s="24"/>
      <c r="D22" s="24"/>
      <c r="E22" s="25"/>
      <c r="F22" s="26"/>
      <c r="G22" s="26"/>
      <c r="H22" s="26"/>
      <c r="I22" s="26"/>
      <c r="J22" s="26"/>
      <c r="K22" s="26"/>
      <c r="L22" s="26"/>
    </row>
    <row r="23" spans="1:12" x14ac:dyDescent="0.25">
      <c r="A23" s="27">
        <v>22</v>
      </c>
      <c r="B23" s="23"/>
      <c r="C23" s="24"/>
      <c r="D23" s="24"/>
      <c r="E23" s="25"/>
      <c r="F23" s="26"/>
      <c r="G23" s="26"/>
      <c r="H23" s="26"/>
      <c r="I23" s="26"/>
      <c r="J23" s="26"/>
      <c r="K23" s="26"/>
      <c r="L23" s="26"/>
    </row>
    <row r="24" spans="1:12" x14ac:dyDescent="0.25">
      <c r="A24" s="22">
        <v>23</v>
      </c>
      <c r="B24" s="23"/>
      <c r="C24" s="24"/>
      <c r="D24" s="24"/>
      <c r="E24" s="25"/>
      <c r="F24" s="26"/>
      <c r="G24" s="26"/>
      <c r="H24" s="26"/>
      <c r="I24" s="26"/>
      <c r="J24" s="26"/>
      <c r="K24" s="26"/>
      <c r="L24" s="26"/>
    </row>
    <row r="25" spans="1:12" x14ac:dyDescent="0.25">
      <c r="A25" s="27">
        <v>24</v>
      </c>
      <c r="B25" s="23"/>
      <c r="C25" s="24"/>
      <c r="D25" s="24"/>
      <c r="E25" s="25"/>
      <c r="F25" s="26"/>
      <c r="G25" s="26"/>
      <c r="H25" s="26"/>
      <c r="I25" s="26"/>
      <c r="J25" s="26"/>
      <c r="K25" s="26"/>
      <c r="L25" s="26"/>
    </row>
    <row r="26" spans="1:12" x14ac:dyDescent="0.25">
      <c r="A26" s="22">
        <v>25</v>
      </c>
      <c r="B26" s="23"/>
      <c r="C26" s="24"/>
      <c r="D26" s="24"/>
      <c r="E26" s="25"/>
      <c r="F26" s="26"/>
      <c r="G26" s="26"/>
      <c r="H26" s="26"/>
      <c r="I26" s="26"/>
      <c r="J26" s="26"/>
      <c r="K26" s="26"/>
      <c r="L26" s="26"/>
    </row>
    <row r="27" spans="1:12" x14ac:dyDescent="0.25">
      <c r="A27" s="27">
        <v>26</v>
      </c>
      <c r="B27" s="23"/>
      <c r="C27" s="24"/>
      <c r="D27" s="24"/>
      <c r="E27" s="25"/>
      <c r="F27" s="26"/>
      <c r="G27" s="26"/>
      <c r="H27" s="26"/>
      <c r="I27" s="26"/>
      <c r="J27" s="26"/>
      <c r="K27" s="26"/>
      <c r="L27" s="26"/>
    </row>
    <row r="28" spans="1:12" x14ac:dyDescent="0.25">
      <c r="A28" s="22">
        <v>27</v>
      </c>
      <c r="B28" s="23"/>
      <c r="C28" s="24"/>
      <c r="D28" s="24"/>
      <c r="E28" s="25"/>
      <c r="F28" s="26"/>
      <c r="G28" s="26"/>
      <c r="H28" s="26"/>
      <c r="I28" s="26"/>
      <c r="J28" s="26"/>
      <c r="K28" s="26"/>
      <c r="L28" s="26"/>
    </row>
    <row r="29" spans="1:12" x14ac:dyDescent="0.25">
      <c r="A29" s="27">
        <v>28</v>
      </c>
      <c r="B29" s="23"/>
      <c r="C29" s="24"/>
      <c r="D29" s="24"/>
      <c r="E29" s="25"/>
      <c r="F29" s="26"/>
      <c r="G29" s="26"/>
      <c r="H29" s="26"/>
      <c r="I29" s="26"/>
      <c r="J29" s="26"/>
      <c r="K29" s="26"/>
      <c r="L29" s="26"/>
    </row>
    <row r="30" spans="1:12" x14ac:dyDescent="0.25">
      <c r="A30" s="22">
        <v>29</v>
      </c>
      <c r="B30" s="23"/>
      <c r="C30" s="24"/>
      <c r="D30" s="24"/>
      <c r="E30" s="25"/>
      <c r="F30" s="26"/>
      <c r="G30" s="26"/>
      <c r="H30" s="26"/>
      <c r="I30" s="26"/>
      <c r="J30" s="26"/>
      <c r="K30" s="26"/>
      <c r="L30" s="26"/>
    </row>
    <row r="31" spans="1:12" x14ac:dyDescent="0.25">
      <c r="A31" s="27">
        <v>30</v>
      </c>
      <c r="B31" s="23"/>
      <c r="C31" s="24"/>
      <c r="D31" s="24"/>
      <c r="E31" s="25"/>
      <c r="F31" s="26"/>
      <c r="G31" s="26"/>
      <c r="H31" s="26"/>
      <c r="I31" s="26"/>
      <c r="J31" s="26"/>
      <c r="K31" s="26"/>
      <c r="L31" s="26"/>
    </row>
    <row r="32" spans="1:12" x14ac:dyDescent="0.25">
      <c r="A32" s="22">
        <v>31</v>
      </c>
      <c r="B32" s="23"/>
      <c r="C32" s="24"/>
      <c r="D32" s="24"/>
      <c r="E32" s="25"/>
      <c r="F32" s="26"/>
      <c r="G32" s="26"/>
      <c r="H32" s="26"/>
      <c r="I32" s="26"/>
      <c r="J32" s="26"/>
      <c r="K32" s="26"/>
      <c r="L32" s="26"/>
    </row>
    <row r="33" spans="1:12" x14ac:dyDescent="0.25">
      <c r="A33" s="27">
        <v>32</v>
      </c>
      <c r="B33" s="23"/>
      <c r="C33" s="24"/>
      <c r="D33" s="24"/>
      <c r="E33" s="25"/>
      <c r="F33" s="26"/>
      <c r="G33" s="26"/>
      <c r="H33" s="26"/>
      <c r="I33" s="26"/>
      <c r="J33" s="26"/>
      <c r="K33" s="26"/>
      <c r="L33" s="26"/>
    </row>
    <row r="34" spans="1:12" x14ac:dyDescent="0.25">
      <c r="A34" s="22">
        <v>33</v>
      </c>
      <c r="B34" s="23"/>
      <c r="C34" s="24"/>
      <c r="D34" s="24"/>
      <c r="E34" s="25"/>
      <c r="F34" s="26"/>
      <c r="G34" s="26"/>
      <c r="H34" s="26"/>
      <c r="I34" s="26"/>
      <c r="J34" s="26"/>
      <c r="K34" s="26"/>
      <c r="L34" s="26"/>
    </row>
    <row r="35" spans="1:12" x14ac:dyDescent="0.25">
      <c r="A35" s="27">
        <v>34</v>
      </c>
      <c r="B35" s="23"/>
      <c r="C35" s="24"/>
      <c r="D35" s="24"/>
      <c r="E35" s="25"/>
      <c r="F35" s="26"/>
      <c r="G35" s="26"/>
      <c r="H35" s="26"/>
      <c r="I35" s="26"/>
      <c r="J35" s="26"/>
      <c r="K35" s="26"/>
      <c r="L35" s="26"/>
    </row>
    <row r="36" spans="1:12" x14ac:dyDescent="0.25">
      <c r="A36" s="22">
        <v>35</v>
      </c>
      <c r="B36" s="23"/>
      <c r="C36" s="24"/>
      <c r="D36" s="24"/>
      <c r="E36" s="25"/>
      <c r="F36" s="26"/>
      <c r="G36" s="26"/>
      <c r="H36" s="26"/>
      <c r="I36" s="26"/>
      <c r="J36" s="26"/>
      <c r="K36" s="26"/>
      <c r="L36" s="26"/>
    </row>
    <row r="37" spans="1:12" x14ac:dyDescent="0.25">
      <c r="A37" s="27">
        <v>36</v>
      </c>
      <c r="B37" s="23"/>
      <c r="C37" s="24"/>
      <c r="D37" s="24"/>
      <c r="E37" s="25"/>
      <c r="F37" s="26"/>
      <c r="G37" s="26"/>
      <c r="H37" s="26"/>
      <c r="I37" s="26"/>
      <c r="J37" s="26"/>
      <c r="K37" s="26"/>
      <c r="L37" s="26"/>
    </row>
    <row r="38" spans="1:12" x14ac:dyDescent="0.25">
      <c r="A38" s="22">
        <v>37</v>
      </c>
      <c r="B38" s="23"/>
      <c r="C38" s="24"/>
      <c r="D38" s="24"/>
      <c r="E38" s="25"/>
      <c r="F38" s="26"/>
      <c r="G38" s="26"/>
      <c r="H38" s="26"/>
      <c r="I38" s="26"/>
      <c r="J38" s="26"/>
      <c r="K38" s="26"/>
      <c r="L38" s="26"/>
    </row>
    <row r="39" spans="1:12" x14ac:dyDescent="0.25">
      <c r="A39" s="27">
        <v>38</v>
      </c>
      <c r="B39" s="23"/>
      <c r="C39" s="24"/>
      <c r="D39" s="24"/>
      <c r="E39" s="25"/>
      <c r="F39" s="26"/>
      <c r="G39" s="26"/>
      <c r="H39" s="26"/>
      <c r="I39" s="26"/>
      <c r="J39" s="26"/>
      <c r="K39" s="26"/>
      <c r="L39" s="26"/>
    </row>
    <row r="40" spans="1:12" x14ac:dyDescent="0.25">
      <c r="A40" s="22">
        <v>39</v>
      </c>
      <c r="B40" s="23"/>
      <c r="C40" s="24"/>
      <c r="D40" s="24"/>
      <c r="E40" s="25"/>
      <c r="F40" s="26"/>
      <c r="G40" s="26"/>
      <c r="H40" s="26"/>
      <c r="I40" s="26"/>
      <c r="J40" s="26"/>
      <c r="K40" s="26"/>
      <c r="L40" s="26"/>
    </row>
    <row r="41" spans="1:12" x14ac:dyDescent="0.25">
      <c r="A41" s="27">
        <v>40</v>
      </c>
      <c r="B41" s="23"/>
      <c r="C41" s="24"/>
      <c r="D41" s="24"/>
      <c r="E41" s="25"/>
      <c r="F41" s="26"/>
      <c r="G41" s="26"/>
      <c r="H41" s="26"/>
      <c r="I41" s="26"/>
      <c r="J41" s="26"/>
      <c r="K41" s="26"/>
      <c r="L41" s="26"/>
    </row>
    <row r="42" spans="1:12" x14ac:dyDescent="0.25">
      <c r="A42" s="22">
        <v>41</v>
      </c>
      <c r="B42" s="23"/>
      <c r="C42" s="24"/>
      <c r="D42" s="24"/>
      <c r="E42" s="25"/>
      <c r="F42" s="26"/>
      <c r="G42" s="26"/>
      <c r="H42" s="26"/>
      <c r="I42" s="26"/>
      <c r="J42" s="26"/>
      <c r="K42" s="26"/>
      <c r="L42" s="26"/>
    </row>
    <row r="43" spans="1:12" x14ac:dyDescent="0.25">
      <c r="A43" s="27">
        <v>42</v>
      </c>
      <c r="B43" s="23"/>
      <c r="C43" s="24"/>
      <c r="D43" s="24"/>
      <c r="E43" s="25"/>
      <c r="F43" s="26"/>
      <c r="G43" s="26"/>
      <c r="H43" s="26"/>
      <c r="I43" s="26"/>
      <c r="J43" s="26"/>
      <c r="K43" s="26"/>
      <c r="L43" s="26"/>
    </row>
    <row r="44" spans="1:12" x14ac:dyDescent="0.25">
      <c r="A44" s="22">
        <v>43</v>
      </c>
      <c r="B44" s="23"/>
      <c r="C44" s="24"/>
      <c r="D44" s="24"/>
      <c r="E44" s="25"/>
      <c r="F44" s="26"/>
      <c r="G44" s="26"/>
      <c r="H44" s="26"/>
      <c r="I44" s="26"/>
      <c r="J44" s="26"/>
      <c r="K44" s="26"/>
      <c r="L44" s="26"/>
    </row>
    <row r="45" spans="1:12" x14ac:dyDescent="0.25">
      <c r="A45" s="27">
        <v>44</v>
      </c>
      <c r="B45" s="23"/>
      <c r="C45" s="24"/>
      <c r="D45" s="24"/>
      <c r="E45" s="25"/>
      <c r="F45" s="26"/>
      <c r="G45" s="26"/>
      <c r="H45" s="26"/>
      <c r="I45" s="26"/>
      <c r="J45" s="26"/>
      <c r="K45" s="26"/>
      <c r="L45" s="26"/>
    </row>
    <row r="46" spans="1:12" x14ac:dyDescent="0.25">
      <c r="A46" s="22">
        <v>45</v>
      </c>
      <c r="B46" s="23"/>
      <c r="C46" s="24"/>
      <c r="D46" s="24"/>
      <c r="E46" s="25"/>
      <c r="F46" s="26"/>
      <c r="G46" s="26"/>
      <c r="H46" s="26"/>
      <c r="I46" s="26"/>
      <c r="J46" s="26"/>
      <c r="K46" s="26"/>
      <c r="L46" s="26"/>
    </row>
    <row r="47" spans="1:12" x14ac:dyDescent="0.25">
      <c r="A47" s="27">
        <v>46</v>
      </c>
      <c r="B47" s="23"/>
      <c r="C47" s="24"/>
      <c r="D47" s="24"/>
      <c r="E47" s="25"/>
      <c r="F47" s="26"/>
      <c r="G47" s="26"/>
      <c r="H47" s="26"/>
      <c r="I47" s="26"/>
      <c r="J47" s="26"/>
      <c r="K47" s="26"/>
      <c r="L47" s="26"/>
    </row>
    <row r="48" spans="1:12" x14ac:dyDescent="0.25">
      <c r="A48" s="22">
        <v>47</v>
      </c>
      <c r="B48" s="23"/>
      <c r="C48" s="24"/>
      <c r="D48" s="24"/>
      <c r="E48" s="25"/>
      <c r="F48" s="26"/>
      <c r="G48" s="26"/>
      <c r="H48" s="26"/>
      <c r="I48" s="26"/>
      <c r="J48" s="26"/>
      <c r="K48" s="26"/>
      <c r="L48" s="26"/>
    </row>
    <row r="49" spans="1:12" x14ac:dyDescent="0.25">
      <c r="A49" s="27">
        <v>48</v>
      </c>
      <c r="B49" s="23"/>
      <c r="C49" s="24"/>
      <c r="D49" s="24"/>
      <c r="E49" s="25"/>
      <c r="F49" s="26"/>
      <c r="G49" s="26"/>
      <c r="H49" s="26"/>
      <c r="I49" s="26"/>
      <c r="J49" s="26"/>
      <c r="K49" s="26"/>
      <c r="L49" s="26"/>
    </row>
    <row r="50" spans="1:12" x14ac:dyDescent="0.25">
      <c r="A50" s="22">
        <v>49</v>
      </c>
      <c r="B50" s="23"/>
      <c r="C50" s="24"/>
      <c r="D50" s="24"/>
      <c r="E50" s="25"/>
      <c r="F50" s="26"/>
      <c r="G50" s="26"/>
      <c r="H50" s="26"/>
      <c r="I50" s="26"/>
      <c r="J50" s="26"/>
      <c r="K50" s="26"/>
      <c r="L50" s="26"/>
    </row>
    <row r="51" spans="1:12" x14ac:dyDescent="0.25">
      <c r="A51" s="27">
        <v>50</v>
      </c>
      <c r="B51" s="23"/>
      <c r="C51" s="24"/>
      <c r="D51" s="24"/>
      <c r="E51" s="25"/>
      <c r="F51" s="26"/>
      <c r="G51" s="26"/>
      <c r="H51" s="26"/>
      <c r="I51" s="26"/>
      <c r="J51" s="26"/>
      <c r="K51" s="26"/>
      <c r="L51" s="26"/>
    </row>
    <row r="52" spans="1:12" x14ac:dyDescent="0.25">
      <c r="A52" s="22">
        <v>51</v>
      </c>
      <c r="B52" s="23"/>
      <c r="C52" s="24"/>
      <c r="D52" s="24"/>
      <c r="E52" s="25"/>
      <c r="F52" s="26"/>
      <c r="G52" s="26"/>
      <c r="H52" s="26"/>
      <c r="I52" s="26"/>
      <c r="J52" s="26"/>
      <c r="K52" s="26"/>
      <c r="L52" s="26"/>
    </row>
    <row r="53" spans="1:12" x14ac:dyDescent="0.25">
      <c r="A53" s="27">
        <v>52</v>
      </c>
      <c r="B53" s="23"/>
      <c r="C53" s="24"/>
      <c r="D53" s="24"/>
      <c r="E53" s="25"/>
      <c r="F53" s="26"/>
      <c r="G53" s="26"/>
      <c r="H53" s="26"/>
      <c r="I53" s="26"/>
      <c r="J53" s="26"/>
      <c r="K53" s="26"/>
      <c r="L53" s="26"/>
    </row>
    <row r="54" spans="1:12" x14ac:dyDescent="0.25">
      <c r="A54" s="22">
        <v>53</v>
      </c>
      <c r="B54" s="23"/>
      <c r="C54" s="24"/>
      <c r="D54" s="24"/>
      <c r="E54" s="25"/>
      <c r="F54" s="26"/>
      <c r="G54" s="26"/>
      <c r="H54" s="26"/>
      <c r="I54" s="26"/>
      <c r="J54" s="26"/>
      <c r="K54" s="26"/>
      <c r="L54" s="26"/>
    </row>
    <row r="55" spans="1:12" x14ac:dyDescent="0.25">
      <c r="A55" s="27">
        <v>54</v>
      </c>
      <c r="B55" s="23"/>
      <c r="C55" s="24"/>
      <c r="D55" s="24"/>
      <c r="E55" s="25"/>
      <c r="F55" s="26"/>
      <c r="G55" s="26"/>
      <c r="H55" s="26"/>
      <c r="I55" s="26"/>
      <c r="J55" s="26"/>
      <c r="K55" s="26"/>
      <c r="L55" s="26"/>
    </row>
    <row r="56" spans="1:12" x14ac:dyDescent="0.25">
      <c r="A56" s="22">
        <v>55</v>
      </c>
      <c r="B56" s="23"/>
      <c r="C56" s="24"/>
      <c r="D56" s="24"/>
      <c r="E56" s="25"/>
      <c r="F56" s="26"/>
      <c r="G56" s="26"/>
      <c r="H56" s="26"/>
      <c r="I56" s="26"/>
      <c r="J56" s="26"/>
      <c r="K56" s="26"/>
      <c r="L56" s="26"/>
    </row>
    <row r="57" spans="1:12" x14ac:dyDescent="0.25">
      <c r="A57" s="27">
        <v>56</v>
      </c>
      <c r="B57" s="23"/>
      <c r="C57" s="24"/>
      <c r="D57" s="24"/>
      <c r="E57" s="25"/>
      <c r="F57" s="26"/>
      <c r="G57" s="26"/>
      <c r="H57" s="26"/>
      <c r="I57" s="26"/>
      <c r="J57" s="26"/>
      <c r="K57" s="26"/>
      <c r="L57" s="26"/>
    </row>
    <row r="58" spans="1:12" x14ac:dyDescent="0.25">
      <c r="A58" s="22">
        <v>57</v>
      </c>
      <c r="B58" s="23"/>
      <c r="C58" s="24"/>
      <c r="D58" s="24"/>
      <c r="E58" s="25"/>
      <c r="F58" s="26"/>
      <c r="G58" s="26"/>
      <c r="H58" s="26"/>
      <c r="I58" s="26"/>
      <c r="J58" s="26"/>
      <c r="K58" s="26"/>
      <c r="L58" s="26"/>
    </row>
    <row r="59" spans="1:12" x14ac:dyDescent="0.25">
      <c r="A59" s="27">
        <v>58</v>
      </c>
      <c r="B59" s="23"/>
      <c r="C59" s="24"/>
      <c r="D59" s="24"/>
      <c r="E59" s="25"/>
      <c r="F59" s="26"/>
      <c r="G59" s="26"/>
      <c r="H59" s="26"/>
      <c r="I59" s="26"/>
      <c r="J59" s="26"/>
      <c r="K59" s="26"/>
      <c r="L59" s="26"/>
    </row>
    <row r="60" spans="1:12" x14ac:dyDescent="0.25">
      <c r="A60" s="22">
        <v>59</v>
      </c>
      <c r="B60" s="23"/>
      <c r="C60" s="24"/>
      <c r="D60" s="24"/>
      <c r="E60" s="25"/>
      <c r="F60" s="26"/>
      <c r="G60" s="26"/>
      <c r="H60" s="26"/>
      <c r="I60" s="26"/>
      <c r="J60" s="26"/>
      <c r="K60" s="26"/>
      <c r="L60" s="26"/>
    </row>
    <row r="61" spans="1:12" x14ac:dyDescent="0.25">
      <c r="A61" s="27">
        <v>60</v>
      </c>
      <c r="B61" s="23"/>
      <c r="C61" s="24"/>
      <c r="D61" s="24"/>
      <c r="E61" s="25"/>
      <c r="F61" s="26"/>
      <c r="G61" s="26"/>
      <c r="H61" s="26"/>
      <c r="I61" s="26"/>
      <c r="J61" s="26"/>
      <c r="K61" s="26"/>
      <c r="L61" s="26"/>
    </row>
    <row r="62" spans="1:12" x14ac:dyDescent="0.25">
      <c r="A62" s="22">
        <v>61</v>
      </c>
      <c r="B62" s="23"/>
      <c r="C62" s="24"/>
      <c r="D62" s="24"/>
      <c r="E62" s="25"/>
      <c r="F62" s="26"/>
      <c r="G62" s="26"/>
      <c r="H62" s="26"/>
      <c r="I62" s="26"/>
      <c r="J62" s="26"/>
      <c r="K62" s="26"/>
      <c r="L62" s="26"/>
    </row>
    <row r="63" spans="1:12" x14ac:dyDescent="0.25">
      <c r="A63" s="27">
        <v>62</v>
      </c>
      <c r="B63" s="23"/>
      <c r="C63" s="24"/>
      <c r="D63" s="24"/>
      <c r="E63" s="25"/>
      <c r="F63" s="26"/>
      <c r="G63" s="26"/>
      <c r="H63" s="26"/>
      <c r="I63" s="26"/>
      <c r="J63" s="26"/>
      <c r="K63" s="26"/>
      <c r="L63" s="26"/>
    </row>
    <row r="64" spans="1:12" x14ac:dyDescent="0.25">
      <c r="A64" s="22">
        <v>63</v>
      </c>
      <c r="B64" s="23"/>
      <c r="C64" s="24"/>
      <c r="D64" s="24"/>
      <c r="E64" s="25"/>
      <c r="F64" s="26"/>
      <c r="G64" s="26"/>
      <c r="H64" s="26"/>
      <c r="I64" s="26"/>
      <c r="J64" s="26"/>
      <c r="K64" s="26"/>
      <c r="L64" s="26"/>
    </row>
    <row r="65" spans="1:12" x14ac:dyDescent="0.25">
      <c r="A65" s="27">
        <v>64</v>
      </c>
      <c r="B65" s="23"/>
      <c r="C65" s="24"/>
      <c r="D65" s="24"/>
      <c r="E65" s="25"/>
      <c r="F65" s="26"/>
      <c r="G65" s="26"/>
      <c r="H65" s="26"/>
      <c r="I65" s="26"/>
      <c r="J65" s="26"/>
      <c r="K65" s="26"/>
      <c r="L65" s="26"/>
    </row>
    <row r="66" spans="1:12" x14ac:dyDescent="0.25">
      <c r="A66" s="22">
        <v>65</v>
      </c>
      <c r="B66" s="23"/>
      <c r="C66" s="24"/>
      <c r="D66" s="24"/>
      <c r="E66" s="25"/>
      <c r="F66" s="26"/>
      <c r="G66" s="26"/>
      <c r="H66" s="26"/>
      <c r="I66" s="26"/>
      <c r="J66" s="26"/>
      <c r="K66" s="26"/>
      <c r="L66" s="26"/>
    </row>
    <row r="67" spans="1:12" x14ac:dyDescent="0.25">
      <c r="A67" s="27">
        <v>66</v>
      </c>
      <c r="B67" s="23"/>
      <c r="C67" s="24"/>
      <c r="D67" s="24"/>
      <c r="E67" s="25"/>
      <c r="F67" s="26"/>
      <c r="G67" s="26"/>
      <c r="H67" s="26"/>
      <c r="I67" s="26"/>
      <c r="J67" s="26"/>
      <c r="K67" s="26"/>
      <c r="L67" s="26"/>
    </row>
    <row r="68" spans="1:12" x14ac:dyDescent="0.25">
      <c r="A68" s="22">
        <v>67</v>
      </c>
      <c r="B68" s="23"/>
      <c r="C68" s="24"/>
      <c r="D68" s="24"/>
      <c r="E68" s="25"/>
      <c r="F68" s="26"/>
      <c r="G68" s="26"/>
      <c r="H68" s="26"/>
      <c r="I68" s="26"/>
      <c r="J68" s="26"/>
      <c r="K68" s="26"/>
      <c r="L68" s="26"/>
    </row>
    <row r="69" spans="1:12" x14ac:dyDescent="0.25">
      <c r="A69" s="27">
        <v>68</v>
      </c>
      <c r="B69" s="23"/>
      <c r="C69" s="24"/>
      <c r="D69" s="24"/>
      <c r="E69" s="25"/>
      <c r="F69" s="26"/>
      <c r="G69" s="26"/>
      <c r="H69" s="26"/>
      <c r="I69" s="26"/>
      <c r="J69" s="26"/>
      <c r="K69" s="26"/>
      <c r="L69" s="26"/>
    </row>
    <row r="70" spans="1:12" x14ac:dyDescent="0.25">
      <c r="A70" s="22">
        <v>69</v>
      </c>
      <c r="B70" s="23"/>
      <c r="C70" s="24"/>
      <c r="D70" s="24"/>
      <c r="E70" s="25"/>
      <c r="F70" s="26"/>
      <c r="G70" s="26"/>
      <c r="H70" s="26"/>
      <c r="I70" s="26"/>
      <c r="J70" s="26"/>
      <c r="K70" s="26"/>
      <c r="L70" s="26"/>
    </row>
    <row r="71" spans="1:12" x14ac:dyDescent="0.25">
      <c r="A71" s="27">
        <v>70</v>
      </c>
      <c r="B71" s="23"/>
      <c r="C71" s="24"/>
      <c r="D71" s="24"/>
      <c r="E71" s="25"/>
      <c r="F71" s="26"/>
      <c r="G71" s="26"/>
      <c r="H71" s="26"/>
      <c r="I71" s="26"/>
      <c r="J71" s="26"/>
      <c r="K71" s="26"/>
      <c r="L71" s="26"/>
    </row>
    <row r="72" spans="1:12" x14ac:dyDescent="0.25">
      <c r="A72" s="22">
        <v>71</v>
      </c>
      <c r="B72" s="23"/>
      <c r="C72" s="24"/>
      <c r="D72" s="24"/>
      <c r="E72" s="25"/>
      <c r="F72" s="26"/>
      <c r="G72" s="26"/>
      <c r="H72" s="26"/>
      <c r="I72" s="26"/>
      <c r="J72" s="26"/>
      <c r="K72" s="26"/>
      <c r="L72" s="26"/>
    </row>
    <row r="73" spans="1:12" x14ac:dyDescent="0.25">
      <c r="A73" s="27">
        <v>72</v>
      </c>
      <c r="B73" s="23"/>
      <c r="C73" s="24"/>
      <c r="D73" s="24"/>
      <c r="E73" s="25"/>
      <c r="F73" s="26"/>
      <c r="G73" s="26"/>
      <c r="H73" s="26"/>
      <c r="I73" s="26"/>
      <c r="J73" s="26"/>
      <c r="K73" s="26"/>
      <c r="L73" s="26"/>
    </row>
    <row r="74" spans="1:12" x14ac:dyDescent="0.25">
      <c r="A74" s="22">
        <v>73</v>
      </c>
      <c r="B74" s="23"/>
      <c r="C74" s="24"/>
      <c r="D74" s="24"/>
      <c r="E74" s="25"/>
      <c r="F74" s="26"/>
      <c r="G74" s="26"/>
      <c r="H74" s="26"/>
      <c r="I74" s="26"/>
      <c r="J74" s="26"/>
      <c r="K74" s="26"/>
      <c r="L74" s="26"/>
    </row>
    <row r="75" spans="1:12" x14ac:dyDescent="0.25">
      <c r="A75" s="27">
        <v>74</v>
      </c>
      <c r="B75" s="23"/>
      <c r="C75" s="24"/>
      <c r="D75" s="24"/>
      <c r="E75" s="25"/>
      <c r="F75" s="26"/>
      <c r="G75" s="26"/>
      <c r="H75" s="26"/>
      <c r="I75" s="26"/>
      <c r="J75" s="26"/>
      <c r="K75" s="26"/>
      <c r="L75" s="26"/>
    </row>
    <row r="76" spans="1:12" x14ac:dyDescent="0.25">
      <c r="A76" s="22">
        <v>75</v>
      </c>
      <c r="B76" s="23"/>
      <c r="C76" s="24"/>
      <c r="D76" s="24"/>
      <c r="E76" s="25"/>
      <c r="F76" s="26"/>
      <c r="G76" s="26"/>
      <c r="H76" s="26"/>
      <c r="I76" s="26"/>
      <c r="J76" s="26"/>
      <c r="K76" s="26"/>
      <c r="L76" s="26"/>
    </row>
    <row r="77" spans="1:12" x14ac:dyDescent="0.25">
      <c r="A77" s="27">
        <v>76</v>
      </c>
      <c r="B77" s="23"/>
      <c r="C77" s="24"/>
      <c r="D77" s="24"/>
      <c r="E77" s="25"/>
      <c r="F77" s="26"/>
      <c r="G77" s="26"/>
      <c r="H77" s="26"/>
      <c r="I77" s="26"/>
      <c r="J77" s="26"/>
      <c r="K77" s="26"/>
      <c r="L77" s="26"/>
    </row>
    <row r="78" spans="1:12" x14ac:dyDescent="0.25">
      <c r="A78" s="22">
        <v>77</v>
      </c>
      <c r="B78" s="23"/>
      <c r="C78" s="24"/>
      <c r="D78" s="24"/>
      <c r="E78" s="25"/>
      <c r="F78" s="26"/>
      <c r="G78" s="26"/>
      <c r="H78" s="26"/>
      <c r="I78" s="26"/>
      <c r="J78" s="26"/>
      <c r="K78" s="26"/>
      <c r="L78" s="26"/>
    </row>
    <row r="79" spans="1:12" x14ac:dyDescent="0.25">
      <c r="A79" s="27">
        <v>78</v>
      </c>
      <c r="B79" s="23"/>
      <c r="C79" s="24"/>
      <c r="D79" s="24"/>
      <c r="E79" s="25"/>
      <c r="F79" s="26"/>
      <c r="G79" s="26"/>
      <c r="H79" s="26"/>
      <c r="I79" s="26"/>
      <c r="J79" s="26"/>
      <c r="K79" s="26"/>
      <c r="L79" s="26"/>
    </row>
    <row r="80" spans="1:12" x14ac:dyDescent="0.25">
      <c r="A80" s="22">
        <v>79</v>
      </c>
      <c r="B80" s="23"/>
      <c r="C80" s="24"/>
      <c r="D80" s="24"/>
      <c r="E80" s="25"/>
      <c r="F80" s="26"/>
      <c r="G80" s="26"/>
      <c r="H80" s="26"/>
      <c r="I80" s="26"/>
      <c r="J80" s="26"/>
      <c r="K80" s="26"/>
      <c r="L80" s="26"/>
    </row>
    <row r="81" spans="1:12" x14ac:dyDescent="0.25">
      <c r="A81" s="27">
        <v>80</v>
      </c>
      <c r="B81" s="23"/>
      <c r="C81" s="24"/>
      <c r="D81" s="24"/>
      <c r="E81" s="25"/>
      <c r="F81" s="26"/>
      <c r="G81" s="26"/>
      <c r="H81" s="26"/>
      <c r="I81" s="26"/>
      <c r="J81" s="26"/>
      <c r="K81" s="26"/>
      <c r="L81" s="26"/>
    </row>
    <row r="82" spans="1:12" x14ac:dyDescent="0.25">
      <c r="A82" s="22">
        <v>81</v>
      </c>
      <c r="B82" s="23"/>
      <c r="C82" s="24"/>
      <c r="D82" s="24"/>
      <c r="E82" s="25"/>
      <c r="F82" s="26"/>
      <c r="G82" s="26"/>
      <c r="H82" s="26"/>
      <c r="I82" s="26"/>
      <c r="J82" s="26"/>
      <c r="K82" s="26"/>
      <c r="L82" s="26"/>
    </row>
    <row r="83" spans="1:12" x14ac:dyDescent="0.25">
      <c r="A83" s="27">
        <v>82</v>
      </c>
      <c r="B83" s="23"/>
      <c r="C83" s="24"/>
      <c r="D83" s="24"/>
      <c r="E83" s="25"/>
      <c r="F83" s="26"/>
      <c r="G83" s="26"/>
      <c r="H83" s="26"/>
      <c r="I83" s="26"/>
      <c r="J83" s="26"/>
      <c r="K83" s="26"/>
      <c r="L83" s="26"/>
    </row>
    <row r="84" spans="1:12" x14ac:dyDescent="0.25">
      <c r="A84" s="22">
        <v>83</v>
      </c>
      <c r="B84" s="23"/>
      <c r="C84" s="24"/>
      <c r="D84" s="24"/>
      <c r="E84" s="25"/>
      <c r="F84" s="26"/>
      <c r="G84" s="26"/>
      <c r="H84" s="26"/>
      <c r="I84" s="26"/>
      <c r="J84" s="26"/>
      <c r="K84" s="26"/>
      <c r="L84" s="26"/>
    </row>
    <row r="85" spans="1:12" x14ac:dyDescent="0.25">
      <c r="A85" s="27">
        <v>84</v>
      </c>
      <c r="B85" s="23"/>
      <c r="C85" s="24"/>
      <c r="D85" s="24"/>
      <c r="E85" s="25"/>
      <c r="F85" s="26"/>
      <c r="G85" s="26"/>
      <c r="H85" s="26"/>
      <c r="I85" s="26"/>
      <c r="J85" s="26"/>
      <c r="K85" s="26"/>
      <c r="L85" s="26"/>
    </row>
    <row r="86" spans="1:12" x14ac:dyDescent="0.25">
      <c r="A86" s="22">
        <v>85</v>
      </c>
      <c r="B86" s="23"/>
      <c r="C86" s="24"/>
      <c r="D86" s="24"/>
      <c r="E86" s="25"/>
      <c r="F86" s="26"/>
      <c r="G86" s="26"/>
      <c r="H86" s="26"/>
      <c r="I86" s="26"/>
      <c r="J86" s="26"/>
      <c r="K86" s="26"/>
      <c r="L86" s="26"/>
    </row>
    <row r="87" spans="1:12" x14ac:dyDescent="0.25">
      <c r="A87" s="27">
        <v>86</v>
      </c>
      <c r="B87" s="23"/>
      <c r="C87" s="24"/>
      <c r="D87" s="24"/>
      <c r="E87" s="25"/>
      <c r="F87" s="26"/>
      <c r="G87" s="26"/>
      <c r="H87" s="26"/>
      <c r="I87" s="26"/>
      <c r="J87" s="26"/>
      <c r="K87" s="26"/>
      <c r="L87" s="26"/>
    </row>
    <row r="88" spans="1:12" x14ac:dyDescent="0.25">
      <c r="A88" s="22">
        <v>87</v>
      </c>
      <c r="B88" s="23"/>
      <c r="C88" s="24"/>
      <c r="D88" s="24"/>
      <c r="E88" s="25"/>
      <c r="F88" s="26"/>
      <c r="G88" s="26"/>
      <c r="H88" s="26"/>
      <c r="I88" s="26"/>
      <c r="J88" s="26"/>
      <c r="K88" s="26"/>
      <c r="L88" s="26"/>
    </row>
    <row r="89" spans="1:12" x14ac:dyDescent="0.25">
      <c r="A89" s="27">
        <v>88</v>
      </c>
      <c r="B89" s="23"/>
      <c r="C89" s="24"/>
      <c r="D89" s="24"/>
      <c r="E89" s="25"/>
      <c r="F89" s="26"/>
      <c r="G89" s="26"/>
      <c r="H89" s="26"/>
      <c r="I89" s="26"/>
      <c r="J89" s="26"/>
      <c r="K89" s="26"/>
      <c r="L89" s="26"/>
    </row>
    <row r="90" spans="1:12" x14ac:dyDescent="0.25">
      <c r="A90" s="22">
        <v>89</v>
      </c>
      <c r="B90" s="23"/>
      <c r="C90" s="24"/>
      <c r="D90" s="24"/>
      <c r="E90" s="25"/>
      <c r="F90" s="26"/>
      <c r="G90" s="26"/>
      <c r="H90" s="26"/>
      <c r="I90" s="26"/>
      <c r="J90" s="26"/>
      <c r="K90" s="26"/>
      <c r="L90" s="26"/>
    </row>
    <row r="91" spans="1:12" x14ac:dyDescent="0.25">
      <c r="A91" s="27">
        <v>90</v>
      </c>
      <c r="B91" s="23"/>
      <c r="C91" s="24"/>
      <c r="D91" s="24"/>
      <c r="E91" s="25"/>
      <c r="F91" s="26"/>
      <c r="G91" s="26"/>
      <c r="H91" s="26"/>
      <c r="I91" s="26"/>
      <c r="J91" s="26"/>
      <c r="K91" s="26"/>
      <c r="L91" s="26"/>
    </row>
    <row r="92" spans="1:12" x14ac:dyDescent="0.25">
      <c r="A92" s="22">
        <v>91</v>
      </c>
      <c r="B92" s="23"/>
      <c r="C92" s="24"/>
      <c r="D92" s="24"/>
      <c r="E92" s="25"/>
      <c r="F92" s="26"/>
      <c r="G92" s="26"/>
      <c r="H92" s="26"/>
      <c r="I92" s="26"/>
      <c r="J92" s="26"/>
      <c r="K92" s="26"/>
      <c r="L92" s="26"/>
    </row>
    <row r="93" spans="1:12" x14ac:dyDescent="0.25">
      <c r="A93" s="27">
        <v>92</v>
      </c>
      <c r="B93" s="23"/>
      <c r="C93" s="24"/>
      <c r="D93" s="24"/>
      <c r="E93" s="25"/>
      <c r="F93" s="26"/>
      <c r="G93" s="26"/>
      <c r="H93" s="26"/>
      <c r="I93" s="26"/>
      <c r="J93" s="26"/>
      <c r="K93" s="26"/>
      <c r="L93" s="26"/>
    </row>
    <row r="94" spans="1:12" x14ac:dyDescent="0.25">
      <c r="A94" s="22">
        <v>93</v>
      </c>
      <c r="B94" s="23"/>
      <c r="C94" s="24"/>
      <c r="D94" s="24"/>
      <c r="E94" s="25"/>
      <c r="F94" s="26"/>
      <c r="G94" s="26"/>
      <c r="H94" s="26"/>
      <c r="I94" s="26"/>
      <c r="J94" s="26"/>
      <c r="K94" s="26"/>
      <c r="L94" s="26"/>
    </row>
    <row r="95" spans="1:12" x14ac:dyDescent="0.25">
      <c r="A95" s="27">
        <v>94</v>
      </c>
      <c r="B95" s="23"/>
      <c r="C95" s="24"/>
      <c r="D95" s="24"/>
      <c r="E95" s="25"/>
      <c r="F95" s="26"/>
      <c r="G95" s="26"/>
      <c r="H95" s="26"/>
      <c r="I95" s="26"/>
      <c r="J95" s="26"/>
      <c r="K95" s="26"/>
      <c r="L95" s="26"/>
    </row>
    <row r="96" spans="1:12" x14ac:dyDescent="0.25">
      <c r="A96" s="22">
        <v>95</v>
      </c>
      <c r="B96" s="23"/>
      <c r="C96" s="24"/>
      <c r="D96" s="31"/>
    </row>
    <row r="97" spans="1:4" x14ac:dyDescent="0.25">
      <c r="A97" s="22">
        <v>96</v>
      </c>
      <c r="B97" s="23"/>
      <c r="C97" s="24"/>
      <c r="D97" s="31"/>
    </row>
    <row r="98" spans="1:4" x14ac:dyDescent="0.25">
      <c r="A98" s="22">
        <v>97</v>
      </c>
      <c r="B98" s="23"/>
      <c r="C98" s="24"/>
      <c r="D98" s="31"/>
    </row>
    <row r="99" spans="1:4" x14ac:dyDescent="0.25">
      <c r="A99" s="22">
        <v>98</v>
      </c>
      <c r="B99" s="23"/>
      <c r="C99" s="24"/>
      <c r="D99" s="31"/>
    </row>
    <row r="100" spans="1:4" x14ac:dyDescent="0.25">
      <c r="A100" s="22">
        <v>99</v>
      </c>
      <c r="B100" s="23"/>
      <c r="C100" s="24"/>
      <c r="D100" s="31"/>
    </row>
    <row r="101" spans="1:4" x14ac:dyDescent="0.25">
      <c r="A101" s="22">
        <v>100</v>
      </c>
      <c r="B101" s="23"/>
      <c r="C101" s="24"/>
      <c r="D101" s="31"/>
    </row>
  </sheetData>
  <sortState ref="A1:L95">
    <sortCondition descending="1" ref="E1"/>
  </sortState>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82"/>
  <sheetViews>
    <sheetView tabSelected="1" workbookViewId="0">
      <selection activeCell="A2" sqref="A2"/>
    </sheetView>
  </sheetViews>
  <sheetFormatPr defaultColWidth="11" defaultRowHeight="15" outlineLevelCol="1" x14ac:dyDescent="0.2"/>
  <cols>
    <col min="1" max="1" width="11" style="76"/>
    <col min="2" max="2" width="17.875" style="76" bestFit="1" customWidth="1"/>
    <col min="3" max="3" width="11.625" style="76" bestFit="1" customWidth="1"/>
    <col min="4" max="4" width="12" style="76" bestFit="1" customWidth="1"/>
    <col min="5" max="5" width="13.875" style="76" bestFit="1" customWidth="1"/>
    <col min="6" max="6" width="14.875" style="76" bestFit="1" customWidth="1"/>
    <col min="7" max="7" width="3.625" style="76" customWidth="1"/>
    <col min="8" max="8" width="15.875" style="76" bestFit="1" customWidth="1"/>
    <col min="9" max="11" width="5.125" style="76" customWidth="1"/>
    <col min="12" max="13" width="11" style="76"/>
    <col min="14" max="14" width="14.5" style="76" customWidth="1"/>
    <col min="15" max="15" width="11" style="76"/>
    <col min="16" max="16" width="15" style="76" bestFit="1" customWidth="1"/>
    <col min="17" max="17" width="9.125" style="76" bestFit="1" customWidth="1"/>
    <col min="18" max="18" width="6.875" style="76" bestFit="1" customWidth="1"/>
    <col min="19" max="19" width="5.375" style="76" bestFit="1" customWidth="1"/>
    <col min="20" max="20" width="12.375" style="76" bestFit="1" customWidth="1"/>
    <col min="21" max="22" width="11" style="76"/>
    <col min="23" max="23" width="10.875" style="76" customWidth="1"/>
    <col min="24" max="28" width="11" style="76"/>
    <col min="29" max="29" width="10.875" style="76" hidden="1" customWidth="1" outlineLevel="1"/>
    <col min="30" max="30" width="18.125" style="76" hidden="1" customWidth="1" outlineLevel="1"/>
    <col min="31" max="31" width="23.125" style="29" hidden="1" customWidth="1" outlineLevel="1"/>
    <col min="32" max="58" width="10.875" style="76" hidden="1" customWidth="1" outlineLevel="1"/>
    <col min="59" max="59" width="11" style="76" collapsed="1"/>
    <col min="60" max="16384" width="11" style="76"/>
  </cols>
  <sheetData>
    <row r="1" spans="1:46" ht="15.75" x14ac:dyDescent="0.25">
      <c r="A1" s="76" t="s">
        <v>245</v>
      </c>
      <c r="O1" s="77" t="s">
        <v>131</v>
      </c>
      <c r="P1" s="78" t="s">
        <v>122</v>
      </c>
      <c r="Q1" s="78" t="s">
        <v>123</v>
      </c>
      <c r="R1" s="78" t="s">
        <v>124</v>
      </c>
      <c r="S1" s="78" t="s">
        <v>125</v>
      </c>
      <c r="T1" s="79" t="s">
        <v>213</v>
      </c>
      <c r="U1" s="78" t="s">
        <v>114</v>
      </c>
      <c r="V1" s="78" t="s">
        <v>126</v>
      </c>
      <c r="W1" s="80" t="s">
        <v>244</v>
      </c>
    </row>
    <row r="2" spans="1:46" ht="15.75" x14ac:dyDescent="0.25">
      <c r="O2" s="77"/>
      <c r="P2" s="78" t="s">
        <v>59</v>
      </c>
      <c r="Q2" s="78" t="s">
        <v>127</v>
      </c>
      <c r="R2" s="78" t="s">
        <v>128</v>
      </c>
      <c r="S2" s="78"/>
      <c r="T2" s="81"/>
      <c r="U2" s="78"/>
      <c r="V2" s="78" t="s">
        <v>129</v>
      </c>
      <c r="W2" s="80" t="s">
        <v>130</v>
      </c>
    </row>
    <row r="3" spans="1:46" x14ac:dyDescent="0.2">
      <c r="C3" s="82" t="s">
        <v>120</v>
      </c>
      <c r="D3" s="82"/>
      <c r="E3" s="138"/>
      <c r="F3" s="138"/>
      <c r="G3" s="138"/>
      <c r="O3" s="120"/>
      <c r="P3" s="121">
        <f>SUM(Q3:U3)</f>
        <v>0</v>
      </c>
      <c r="Q3" s="122">
        <f>SUM(X7:X57)</f>
        <v>0</v>
      </c>
      <c r="R3" s="123">
        <f>SUM(Y7:Y40)</f>
        <v>0</v>
      </c>
      <c r="S3" s="122">
        <f>SUM(Z59:Z62)</f>
        <v>0</v>
      </c>
      <c r="T3" s="122">
        <f>Y50+Y54</f>
        <v>0</v>
      </c>
      <c r="U3" s="122">
        <f>SUM(AA43:AA54)</f>
        <v>0</v>
      </c>
      <c r="V3" s="122">
        <f>COUNTIF(AK7:AK57,10)</f>
        <v>0</v>
      </c>
      <c r="W3" s="122">
        <f>E59</f>
        <v>0</v>
      </c>
    </row>
    <row r="5" spans="1:46" ht="15.75" x14ac:dyDescent="0.25">
      <c r="W5" s="85"/>
      <c r="X5" s="77" t="s">
        <v>71</v>
      </c>
      <c r="Y5" s="77" t="s">
        <v>72</v>
      </c>
    </row>
    <row r="6" spans="1:46" ht="16.5" thickBot="1" x14ac:dyDescent="0.3">
      <c r="A6" s="11" t="s">
        <v>42</v>
      </c>
      <c r="B6" s="11" t="s">
        <v>43</v>
      </c>
      <c r="C6" s="11" t="s">
        <v>44</v>
      </c>
      <c r="D6" s="11"/>
      <c r="E6" s="11" t="s">
        <v>45</v>
      </c>
      <c r="F6" s="12" t="s">
        <v>46</v>
      </c>
      <c r="G6" s="12"/>
      <c r="H6" s="11" t="s">
        <v>47</v>
      </c>
      <c r="I6" s="148" t="s">
        <v>53</v>
      </c>
      <c r="J6" s="149"/>
      <c r="K6" s="150"/>
      <c r="L6" s="86" t="s">
        <v>54</v>
      </c>
      <c r="P6" s="3" t="s">
        <v>55</v>
      </c>
      <c r="Q6" s="3" t="s">
        <v>56</v>
      </c>
      <c r="R6" s="3" t="s">
        <v>57</v>
      </c>
      <c r="S6" s="3" t="s">
        <v>58</v>
      </c>
      <c r="T6" s="3" t="s">
        <v>59</v>
      </c>
      <c r="U6" s="3" t="s">
        <v>60</v>
      </c>
      <c r="W6" s="87"/>
      <c r="X6" s="14" t="s">
        <v>73</v>
      </c>
      <c r="Y6" s="88" t="s">
        <v>73</v>
      </c>
      <c r="AF6" s="89" t="s">
        <v>65</v>
      </c>
      <c r="AG6" s="89" t="s">
        <v>65</v>
      </c>
      <c r="AH6" s="90" t="s">
        <v>74</v>
      </c>
      <c r="AI6" s="90"/>
      <c r="AK6" s="90" t="s">
        <v>73</v>
      </c>
      <c r="AL6" s="90" t="s">
        <v>75</v>
      </c>
      <c r="AM6" s="90" t="s">
        <v>76</v>
      </c>
      <c r="AN6" s="90" t="s">
        <v>77</v>
      </c>
      <c r="AO6" s="90" t="s">
        <v>78</v>
      </c>
      <c r="AP6" s="90" t="s">
        <v>79</v>
      </c>
      <c r="AQ6" s="90" t="s">
        <v>80</v>
      </c>
      <c r="AS6" s="3" t="s">
        <v>55</v>
      </c>
      <c r="AT6" s="3" t="s">
        <v>60</v>
      </c>
    </row>
    <row r="7" spans="1:46" ht="15.75" thickBot="1" x14ac:dyDescent="0.25">
      <c r="A7" s="1">
        <v>1</v>
      </c>
      <c r="B7" s="2">
        <v>44358.875</v>
      </c>
      <c r="C7" s="3" t="s">
        <v>0</v>
      </c>
      <c r="D7" s="3"/>
      <c r="E7" s="1" t="s">
        <v>1</v>
      </c>
      <c r="F7" s="2" t="s">
        <v>2</v>
      </c>
      <c r="G7" s="13" t="s">
        <v>52</v>
      </c>
      <c r="H7" s="1" t="s">
        <v>3</v>
      </c>
      <c r="I7" s="91"/>
      <c r="J7" s="92" t="s">
        <v>52</v>
      </c>
      <c r="K7" s="93"/>
      <c r="L7" s="94" t="str">
        <f t="shared" ref="L7" si="0">IF(K7="","",IF(I7&gt;K7,1,IF(I7&lt;K7,2,3)))</f>
        <v/>
      </c>
      <c r="P7" s="95" t="s">
        <v>2</v>
      </c>
      <c r="Q7" s="96">
        <f ca="1">SUMIF($F$7:$F$42,$P7,$I$7:$I$41)+SUMIF($H$7:$H$41,$P7,$K$7:$K$41)</f>
        <v>0</v>
      </c>
      <c r="R7" s="96">
        <f>SUMIF($F$7:$F$54,$P7,$K$7:$K$54)+SUMIF($H$7:$H$54,$P7,$I$7:$I$54)</f>
        <v>0</v>
      </c>
      <c r="S7" s="96">
        <f ca="1">Q7-R7</f>
        <v>0</v>
      </c>
      <c r="T7" s="96">
        <f>SUMIF($F$7:$F$42,$P7,$AF$7:$AF$42)+SUMIF($H$7:$H$42,$P7,$AG$7:$AG$42)</f>
        <v>0</v>
      </c>
      <c r="U7" s="97"/>
      <c r="X7" s="83">
        <f>AK7</f>
        <v>0</v>
      </c>
      <c r="Y7" s="84">
        <f>AT7</f>
        <v>0</v>
      </c>
      <c r="AC7" s="85" t="str">
        <f>P7</f>
        <v>Turkije</v>
      </c>
      <c r="AD7" s="85" t="s">
        <v>61</v>
      </c>
      <c r="AE7" s="85"/>
      <c r="AF7" s="98" t="str">
        <f t="shared" ref="AF7:AF38" si="1">IF(K7="","",IF($I7&gt;$K7,3,IF($I7=$K7,1,0)))</f>
        <v/>
      </c>
      <c r="AG7" s="98" t="str">
        <f t="shared" ref="AG7:AG38" si="2">IF(K7="","",IF($I7&lt;$K7,3,IF($I7=$K7,1,0)))</f>
        <v/>
      </c>
      <c r="AH7" s="15" t="str">
        <f>IF((uitslag!I7=""),"",(uitslag!I7))</f>
        <v/>
      </c>
      <c r="AI7" s="16" t="str">
        <f>IF((uitslag!K7=""),"",(uitslag!K7))</f>
        <v/>
      </c>
      <c r="AK7" s="90">
        <f>IF(OR(AH7="",AI7=""),0,(IF(SUM(AL7:AQ7)&gt;10,10,SUM(AL7:AQ7))))</f>
        <v>0</v>
      </c>
      <c r="AL7" s="90">
        <f t="shared" ref="AL7:AL38" si="3">IF(AH7="",0,(IF(I7=AH7,1,0)))</f>
        <v>0</v>
      </c>
      <c r="AM7" s="90">
        <f t="shared" ref="AM7:AM38" si="4">IF(AI7="",0,(IF(K7=AI7,1,0)))</f>
        <v>0</v>
      </c>
      <c r="AN7" s="90">
        <f>IF(AND(AL7=1,AM7=1),10,0)</f>
        <v>0</v>
      </c>
      <c r="AO7" s="90">
        <f t="shared" ref="AO7:AO38" si="5">IF(AND(I7&gt;K7,AH7&gt;AI7),5,0)</f>
        <v>0</v>
      </c>
      <c r="AP7" s="90">
        <f t="shared" ref="AP7:AP38" si="6">IF(AND(I7&lt;K7,AH7&lt;AI7),5,0)</f>
        <v>0</v>
      </c>
      <c r="AQ7" s="90">
        <f t="shared" ref="AQ7:AQ38" si="7">IF(AND(I7=K7,AH7=AI7),5,0)</f>
        <v>5</v>
      </c>
      <c r="AS7" s="99" t="str">
        <f>AC7</f>
        <v>Turkije</v>
      </c>
      <c r="AT7" s="100">
        <f>IF(uitslag!U7="",0,IF(U7=uitslag!U7,10,0))</f>
        <v>0</v>
      </c>
    </row>
    <row r="8" spans="1:46" ht="15.75" thickBot="1" x14ac:dyDescent="0.25">
      <c r="A8" s="1">
        <v>2</v>
      </c>
      <c r="B8" s="2">
        <v>44359.625</v>
      </c>
      <c r="C8" s="3" t="s">
        <v>0</v>
      </c>
      <c r="D8" s="3"/>
      <c r="E8" s="1" t="s">
        <v>4</v>
      </c>
      <c r="F8" s="2" t="s">
        <v>5</v>
      </c>
      <c r="G8" s="13" t="s">
        <v>52</v>
      </c>
      <c r="H8" s="1" t="s">
        <v>6</v>
      </c>
      <c r="I8" s="91"/>
      <c r="J8" s="92" t="s">
        <v>52</v>
      </c>
      <c r="K8" s="93"/>
      <c r="L8" s="94" t="str">
        <f t="shared" ref="L8:L42" si="8">IF(K8="","",IF(I8&gt;K8,1,IF(I8&lt;K8,2,3)))</f>
        <v/>
      </c>
      <c r="P8" s="95" t="s">
        <v>3</v>
      </c>
      <c r="Q8" s="96">
        <f ca="1">SUMIF($F$7:$F$42,$P8,$I$7:$I$41)+SUMIF($H$7:$H$41,$P8,$K$7:$K$41)</f>
        <v>0</v>
      </c>
      <c r="R8" s="96">
        <f>SUMIF($F$7:$F$54,$P8,$K$7:$K$54)+SUMIF($H$7:$H$54,$P8,$I$7:$I$54)</f>
        <v>0</v>
      </c>
      <c r="S8" s="96">
        <f ca="1">Q8-R8</f>
        <v>0</v>
      </c>
      <c r="T8" s="96">
        <f t="shared" ref="T8:T9" si="9">SUMIF($F$7:$F$42,$P8,$AF$7:$AF$42)+SUMIF($H$7:$H$42,$P8,$AG$7:$AG$42)</f>
        <v>0</v>
      </c>
      <c r="U8" s="97"/>
      <c r="X8" s="83">
        <f t="shared" ref="X8:X57" si="10">AK8</f>
        <v>0</v>
      </c>
      <c r="Y8" s="84">
        <f>AT8</f>
        <v>0</v>
      </c>
      <c r="AC8" s="85" t="str">
        <f>P8</f>
        <v>Italië</v>
      </c>
      <c r="AD8" s="85" t="s">
        <v>63</v>
      </c>
      <c r="AE8" s="85"/>
      <c r="AF8" s="98" t="str">
        <f t="shared" si="1"/>
        <v/>
      </c>
      <c r="AG8" s="98" t="str">
        <f t="shared" si="2"/>
        <v/>
      </c>
      <c r="AH8" s="15" t="str">
        <f>IF((uitslag!I8=""),"",(uitslag!I8))</f>
        <v/>
      </c>
      <c r="AI8" s="16" t="str">
        <f>IF((uitslag!K8=""),"",(uitslag!K8))</f>
        <v/>
      </c>
      <c r="AK8" s="90">
        <f t="shared" ref="AK8:AK47" si="11">IF(OR(AH8="",AI8=""),0,(IF(SUM(AL8:AQ8)&gt;10,10,SUM(AL8:AQ8))))</f>
        <v>0</v>
      </c>
      <c r="AL8" s="90">
        <f t="shared" si="3"/>
        <v>0</v>
      </c>
      <c r="AM8" s="90">
        <f t="shared" si="4"/>
        <v>0</v>
      </c>
      <c r="AN8" s="90">
        <f t="shared" ref="AN8:AN47" si="12">IF(AND(AL8=1,AM8=1),10,0)</f>
        <v>0</v>
      </c>
      <c r="AO8" s="90">
        <f t="shared" si="5"/>
        <v>0</v>
      </c>
      <c r="AP8" s="90">
        <f t="shared" si="6"/>
        <v>0</v>
      </c>
      <c r="AQ8" s="90">
        <f t="shared" si="7"/>
        <v>5</v>
      </c>
      <c r="AS8" s="99" t="str">
        <f>AC8</f>
        <v>Italië</v>
      </c>
      <c r="AT8" s="100">
        <f>IF(uitslag!U8="",0,IF(U8=uitslag!U8,10,0))</f>
        <v>0</v>
      </c>
    </row>
    <row r="9" spans="1:46" ht="15.75" thickBot="1" x14ac:dyDescent="0.25">
      <c r="A9" s="1">
        <v>3</v>
      </c>
      <c r="B9" s="2">
        <v>44359.75</v>
      </c>
      <c r="C9" s="4" t="s">
        <v>7</v>
      </c>
      <c r="D9" s="4"/>
      <c r="E9" s="1" t="s">
        <v>8</v>
      </c>
      <c r="F9" s="2" t="s">
        <v>9</v>
      </c>
      <c r="G9" s="13" t="s">
        <v>52</v>
      </c>
      <c r="H9" s="1" t="s">
        <v>10</v>
      </c>
      <c r="I9" s="91"/>
      <c r="J9" s="92" t="s">
        <v>52</v>
      </c>
      <c r="K9" s="93"/>
      <c r="L9" s="94" t="str">
        <f t="shared" si="8"/>
        <v/>
      </c>
      <c r="P9" s="95" t="s">
        <v>5</v>
      </c>
      <c r="Q9" s="96">
        <f ca="1">SUMIF($F$7:$F$42,$P9,$I$7:$I$41)+SUMIF($H$7:$H$41,$P9,$K$7:$K$41)</f>
        <v>0</v>
      </c>
      <c r="R9" s="96">
        <f>SUMIF($F$7:$F$54,$P9,$K$7:$K$54)+SUMIF($H$7:$H$54,$P9,$I$7:$I$54)</f>
        <v>0</v>
      </c>
      <c r="S9" s="96">
        <f ca="1">Q9-R9</f>
        <v>0</v>
      </c>
      <c r="T9" s="96">
        <f t="shared" si="9"/>
        <v>0</v>
      </c>
      <c r="U9" s="97"/>
      <c r="X9" s="83">
        <f t="shared" si="10"/>
        <v>0</v>
      </c>
      <c r="Y9" s="84">
        <f>AT9</f>
        <v>0</v>
      </c>
      <c r="AC9" s="85" t="str">
        <f>P9</f>
        <v>Wales</v>
      </c>
      <c r="AD9" s="85" t="s">
        <v>64</v>
      </c>
      <c r="AE9" s="85"/>
      <c r="AF9" s="98" t="str">
        <f t="shared" si="1"/>
        <v/>
      </c>
      <c r="AG9" s="98" t="str">
        <f t="shared" si="2"/>
        <v/>
      </c>
      <c r="AH9" s="15" t="str">
        <f>IF((uitslag!I9=""),"",(uitslag!I9))</f>
        <v/>
      </c>
      <c r="AI9" s="16" t="str">
        <f>IF((uitslag!K9=""),"",(uitslag!K9))</f>
        <v/>
      </c>
      <c r="AK9" s="90">
        <f t="shared" si="11"/>
        <v>0</v>
      </c>
      <c r="AL9" s="90">
        <f t="shared" si="3"/>
        <v>0</v>
      </c>
      <c r="AM9" s="90">
        <f t="shared" si="4"/>
        <v>0</v>
      </c>
      <c r="AN9" s="90">
        <f t="shared" si="12"/>
        <v>0</v>
      </c>
      <c r="AO9" s="90">
        <f t="shared" si="5"/>
        <v>0</v>
      </c>
      <c r="AP9" s="90">
        <f t="shared" si="6"/>
        <v>0</v>
      </c>
      <c r="AQ9" s="90">
        <f t="shared" si="7"/>
        <v>5</v>
      </c>
      <c r="AS9" s="99" t="str">
        <f>AC9</f>
        <v>Wales</v>
      </c>
      <c r="AT9" s="100">
        <f>IF(uitslag!U9="",0,IF(U9=uitslag!U9,10,0))</f>
        <v>0</v>
      </c>
    </row>
    <row r="10" spans="1:46" x14ac:dyDescent="0.2">
      <c r="A10" s="1">
        <v>4</v>
      </c>
      <c r="B10" s="2">
        <v>44359.875</v>
      </c>
      <c r="C10" s="4" t="s">
        <v>7</v>
      </c>
      <c r="D10" s="4"/>
      <c r="E10" s="1" t="s">
        <v>11</v>
      </c>
      <c r="F10" s="2" t="s">
        <v>12</v>
      </c>
      <c r="G10" s="13" t="s">
        <v>52</v>
      </c>
      <c r="H10" s="1" t="s">
        <v>13</v>
      </c>
      <c r="I10" s="91"/>
      <c r="J10" s="92" t="s">
        <v>52</v>
      </c>
      <c r="K10" s="93"/>
      <c r="L10" s="94" t="str">
        <f t="shared" si="8"/>
        <v/>
      </c>
      <c r="P10" s="95" t="s">
        <v>6</v>
      </c>
      <c r="Q10" s="96">
        <f ca="1">SUMIF($F$7:$F$42,$P10,$I$7:$I$41)+SUMIF($H$7:$H$41,$P10,$K$7:$K$41)</f>
        <v>0</v>
      </c>
      <c r="R10" s="96">
        <f>SUMIF($F$7:$F$54,$P10,$K$7:$K$54)+SUMIF($H$7:$H$54,$P10,$I$7:$I$54)</f>
        <v>0</v>
      </c>
      <c r="S10" s="96">
        <f ca="1">Q10-R10</f>
        <v>0</v>
      </c>
      <c r="T10" s="96">
        <f>SUMIF($F$7:$F$42,$P10,$AF$7:$AF$42)+SUMIF($H$7:$H$42,$P10,$AG$7:$AG$42)</f>
        <v>0</v>
      </c>
      <c r="U10" s="97"/>
      <c r="X10" s="83">
        <f t="shared" si="10"/>
        <v>0</v>
      </c>
      <c r="Y10" s="84">
        <f>AT10</f>
        <v>0</v>
      </c>
      <c r="AC10" s="85" t="str">
        <f>P10</f>
        <v>Zwitserland</v>
      </c>
      <c r="AD10" s="85" t="s">
        <v>62</v>
      </c>
      <c r="AE10" s="85"/>
      <c r="AF10" s="98" t="str">
        <f t="shared" si="1"/>
        <v/>
      </c>
      <c r="AG10" s="98" t="str">
        <f t="shared" si="2"/>
        <v/>
      </c>
      <c r="AH10" s="15" t="str">
        <f>IF((uitslag!I10=""),"",(uitslag!I10))</f>
        <v/>
      </c>
      <c r="AI10" s="16" t="str">
        <f>IF((uitslag!K10=""),"",(uitslag!K10))</f>
        <v/>
      </c>
      <c r="AK10" s="90">
        <f t="shared" si="11"/>
        <v>0</v>
      </c>
      <c r="AL10" s="90">
        <f t="shared" si="3"/>
        <v>0</v>
      </c>
      <c r="AM10" s="90">
        <f t="shared" si="4"/>
        <v>0</v>
      </c>
      <c r="AN10" s="90">
        <f t="shared" si="12"/>
        <v>0</v>
      </c>
      <c r="AO10" s="90">
        <f t="shared" si="5"/>
        <v>0</v>
      </c>
      <c r="AP10" s="90">
        <f t="shared" si="6"/>
        <v>0</v>
      </c>
      <c r="AQ10" s="90">
        <f t="shared" si="7"/>
        <v>5</v>
      </c>
      <c r="AS10" s="99" t="str">
        <f>AC10</f>
        <v>Zwitserland</v>
      </c>
      <c r="AT10" s="100">
        <f>IF(uitslag!U10="",0,IF(U10=uitslag!U10,10,0))</f>
        <v>0</v>
      </c>
    </row>
    <row r="11" spans="1:46" x14ac:dyDescent="0.2">
      <c r="A11" s="1">
        <v>5</v>
      </c>
      <c r="B11" s="2">
        <v>44360.625</v>
      </c>
      <c r="C11" s="5" t="s">
        <v>14</v>
      </c>
      <c r="D11" s="5"/>
      <c r="E11" s="1" t="s">
        <v>15</v>
      </c>
      <c r="F11" s="2" t="s">
        <v>16</v>
      </c>
      <c r="G11" s="13" t="s">
        <v>52</v>
      </c>
      <c r="H11" s="1" t="s">
        <v>17</v>
      </c>
      <c r="I11" s="91"/>
      <c r="J11" s="92" t="s">
        <v>52</v>
      </c>
      <c r="K11" s="93"/>
      <c r="L11" s="94" t="str">
        <f t="shared" si="8"/>
        <v/>
      </c>
      <c r="X11" s="83">
        <f t="shared" si="10"/>
        <v>0</v>
      </c>
      <c r="AF11" s="98" t="str">
        <f t="shared" si="1"/>
        <v/>
      </c>
      <c r="AG11" s="98" t="str">
        <f t="shared" si="2"/>
        <v/>
      </c>
      <c r="AH11" s="15" t="str">
        <f>IF((uitslag!I11=""),"",(uitslag!I11))</f>
        <v/>
      </c>
      <c r="AI11" s="16" t="str">
        <f>IF((uitslag!K11=""),"",(uitslag!K11))</f>
        <v/>
      </c>
      <c r="AK11" s="90">
        <f t="shared" si="11"/>
        <v>0</v>
      </c>
      <c r="AL11" s="90">
        <f t="shared" si="3"/>
        <v>0</v>
      </c>
      <c r="AM11" s="90">
        <f t="shared" si="4"/>
        <v>0</v>
      </c>
      <c r="AN11" s="90">
        <f t="shared" si="12"/>
        <v>0</v>
      </c>
      <c r="AO11" s="90">
        <f t="shared" si="5"/>
        <v>0</v>
      </c>
      <c r="AP11" s="90">
        <f t="shared" si="6"/>
        <v>0</v>
      </c>
      <c r="AQ11" s="90">
        <f t="shared" si="7"/>
        <v>5</v>
      </c>
    </row>
    <row r="12" spans="1:46" ht="15.75" thickBot="1" x14ac:dyDescent="0.25">
      <c r="A12" s="1">
        <v>6</v>
      </c>
      <c r="B12" s="2">
        <v>44360.75</v>
      </c>
      <c r="C12" s="6" t="s">
        <v>18</v>
      </c>
      <c r="D12" s="6"/>
      <c r="E12" s="1" t="s">
        <v>19</v>
      </c>
      <c r="F12" s="2" t="s">
        <v>20</v>
      </c>
      <c r="G12" s="13" t="s">
        <v>52</v>
      </c>
      <c r="H12" s="1" t="s">
        <v>48</v>
      </c>
      <c r="I12" s="91"/>
      <c r="J12" s="92" t="s">
        <v>52</v>
      </c>
      <c r="K12" s="93"/>
      <c r="L12" s="94" t="str">
        <f t="shared" si="8"/>
        <v/>
      </c>
      <c r="P12" s="4" t="s">
        <v>66</v>
      </c>
      <c r="Q12" s="4" t="s">
        <v>56</v>
      </c>
      <c r="R12" s="4" t="s">
        <v>57</v>
      </c>
      <c r="S12" s="4" t="s">
        <v>58</v>
      </c>
      <c r="T12" s="4" t="s">
        <v>59</v>
      </c>
      <c r="U12" s="4" t="s">
        <v>60</v>
      </c>
      <c r="X12" s="83">
        <f t="shared" si="10"/>
        <v>0</v>
      </c>
      <c r="AF12" s="98" t="str">
        <f t="shared" si="1"/>
        <v/>
      </c>
      <c r="AG12" s="98" t="str">
        <f t="shared" si="2"/>
        <v/>
      </c>
      <c r="AH12" s="15" t="str">
        <f>IF((uitslag!I12=""),"",(uitslag!I12))</f>
        <v/>
      </c>
      <c r="AI12" s="16" t="str">
        <f>IF((uitslag!K12=""),"",(uitslag!K12))</f>
        <v/>
      </c>
      <c r="AK12" s="90">
        <f t="shared" si="11"/>
        <v>0</v>
      </c>
      <c r="AL12" s="90">
        <f t="shared" si="3"/>
        <v>0</v>
      </c>
      <c r="AM12" s="90">
        <f t="shared" si="4"/>
        <v>0</v>
      </c>
      <c r="AN12" s="90">
        <f t="shared" si="12"/>
        <v>0</v>
      </c>
      <c r="AO12" s="90">
        <f t="shared" si="5"/>
        <v>0</v>
      </c>
      <c r="AP12" s="90">
        <f t="shared" si="6"/>
        <v>0</v>
      </c>
      <c r="AQ12" s="90">
        <f t="shared" si="7"/>
        <v>5</v>
      </c>
      <c r="AS12" s="4" t="s">
        <v>66</v>
      </c>
      <c r="AT12" s="4" t="s">
        <v>60</v>
      </c>
    </row>
    <row r="13" spans="1:46" ht="15.75" thickBot="1" x14ac:dyDescent="0.25">
      <c r="A13" s="1">
        <v>7</v>
      </c>
      <c r="B13" s="2">
        <v>44360.875</v>
      </c>
      <c r="C13" s="6" t="s">
        <v>18</v>
      </c>
      <c r="D13" s="6"/>
      <c r="E13" s="1" t="s">
        <v>21</v>
      </c>
      <c r="F13" s="2" t="s">
        <v>22</v>
      </c>
      <c r="G13" s="13" t="s">
        <v>52</v>
      </c>
      <c r="H13" s="1" t="s">
        <v>23</v>
      </c>
      <c r="I13" s="91"/>
      <c r="J13" s="92" t="s">
        <v>52</v>
      </c>
      <c r="K13" s="93"/>
      <c r="L13" s="94" t="str">
        <f t="shared" si="8"/>
        <v/>
      </c>
      <c r="P13" s="95" t="s">
        <v>9</v>
      </c>
      <c r="Q13" s="96">
        <f ca="1">SUMIF($F$7:$F$42,$P13,$I$7:$I$41)+SUMIF($H$7:$H$41,$P13,$K$7:$K$41)</f>
        <v>0</v>
      </c>
      <c r="R13" s="96">
        <f>SUMIF($F$7:$F$54,$P13,$K$7:$K$54)+SUMIF($H$7:$H$54,$P13,$I$7:$I$54)</f>
        <v>0</v>
      </c>
      <c r="S13" s="96">
        <f ca="1">Q13-R13</f>
        <v>0</v>
      </c>
      <c r="T13" s="96">
        <f>SUMIF($F$7:$F$42,$P13,$AF$7:$AF$42)+SUMIF($H$7:$H$42,$P13,$AG$7:$AG$42)</f>
        <v>0</v>
      </c>
      <c r="U13" s="97"/>
      <c r="X13" s="83">
        <f t="shared" si="10"/>
        <v>0</v>
      </c>
      <c r="Y13" s="84">
        <f>AT13</f>
        <v>0</v>
      </c>
      <c r="AC13" s="85" t="str">
        <f>P13</f>
        <v>Denemarken</v>
      </c>
      <c r="AD13" s="85" t="s">
        <v>81</v>
      </c>
      <c r="AE13" s="85"/>
      <c r="AF13" s="98" t="str">
        <f t="shared" si="1"/>
        <v/>
      </c>
      <c r="AG13" s="98" t="str">
        <f t="shared" si="2"/>
        <v/>
      </c>
      <c r="AH13" s="15" t="str">
        <f>IF((uitslag!I13=""),"",(uitslag!I13))</f>
        <v/>
      </c>
      <c r="AI13" s="16" t="str">
        <f>IF((uitslag!K13=""),"",(uitslag!K13))</f>
        <v/>
      </c>
      <c r="AK13" s="90">
        <f t="shared" si="11"/>
        <v>0</v>
      </c>
      <c r="AL13" s="90">
        <f t="shared" si="3"/>
        <v>0</v>
      </c>
      <c r="AM13" s="90">
        <f t="shared" si="4"/>
        <v>0</v>
      </c>
      <c r="AN13" s="90">
        <f t="shared" si="12"/>
        <v>0</v>
      </c>
      <c r="AO13" s="90">
        <f t="shared" si="5"/>
        <v>0</v>
      </c>
      <c r="AP13" s="90">
        <f t="shared" si="6"/>
        <v>0</v>
      </c>
      <c r="AQ13" s="90">
        <f t="shared" si="7"/>
        <v>5</v>
      </c>
      <c r="AS13" s="99" t="str">
        <f>AC13</f>
        <v>Denemarken</v>
      </c>
      <c r="AT13" s="100">
        <f>IF(uitslag!U13="",0,IF(U13=uitslag!U13,10,0))</f>
        <v>0</v>
      </c>
    </row>
    <row r="14" spans="1:46" ht="15.75" thickBot="1" x14ac:dyDescent="0.25">
      <c r="A14" s="1">
        <v>8</v>
      </c>
      <c r="B14" s="2">
        <v>44361.625</v>
      </c>
      <c r="C14" s="5" t="s">
        <v>14</v>
      </c>
      <c r="D14" s="5"/>
      <c r="E14" s="1" t="s">
        <v>24</v>
      </c>
      <c r="F14" s="2" t="s">
        <v>49</v>
      </c>
      <c r="G14" s="13" t="s">
        <v>52</v>
      </c>
      <c r="H14" s="1" t="s">
        <v>25</v>
      </c>
      <c r="I14" s="91"/>
      <c r="J14" s="92" t="s">
        <v>52</v>
      </c>
      <c r="K14" s="93"/>
      <c r="L14" s="94" t="str">
        <f t="shared" si="8"/>
        <v/>
      </c>
      <c r="P14" s="95" t="s">
        <v>10</v>
      </c>
      <c r="Q14" s="96">
        <f ca="1">SUMIF($F$7:$F$42,$P14,$I$7:$I$41)+SUMIF($H$7:$H$41,$P14,$K$7:$K$41)</f>
        <v>0</v>
      </c>
      <c r="R14" s="96">
        <f>SUMIF($F$7:$F$54,$P14,$K$7:$K$54)+SUMIF($H$7:$H$54,$P14,$I$7:$I$54)</f>
        <v>0</v>
      </c>
      <c r="S14" s="96">
        <f ca="1">Q14-R14</f>
        <v>0</v>
      </c>
      <c r="T14" s="96">
        <f t="shared" ref="T14:T16" si="13">SUMIF($F$7:$F$42,$P14,$AF$7:$AF$42)+SUMIF($H$7:$H$42,$P14,$AG$7:$AG$42)</f>
        <v>0</v>
      </c>
      <c r="U14" s="97"/>
      <c r="X14" s="83">
        <f t="shared" si="10"/>
        <v>0</v>
      </c>
      <c r="Y14" s="84">
        <f>AT14</f>
        <v>0</v>
      </c>
      <c r="AC14" s="85" t="str">
        <f>P14</f>
        <v>Finland</v>
      </c>
      <c r="AD14" s="85" t="s">
        <v>82</v>
      </c>
      <c r="AE14" s="85"/>
      <c r="AF14" s="98" t="str">
        <f t="shared" si="1"/>
        <v/>
      </c>
      <c r="AG14" s="98" t="str">
        <f t="shared" si="2"/>
        <v/>
      </c>
      <c r="AH14" s="15" t="str">
        <f>IF((uitslag!I14=""),"",(uitslag!I14))</f>
        <v/>
      </c>
      <c r="AI14" s="16" t="str">
        <f>IF((uitslag!K14=""),"",(uitslag!K14))</f>
        <v/>
      </c>
      <c r="AK14" s="90">
        <f t="shared" si="11"/>
        <v>0</v>
      </c>
      <c r="AL14" s="90">
        <f t="shared" si="3"/>
        <v>0</v>
      </c>
      <c r="AM14" s="90">
        <f t="shared" si="4"/>
        <v>0</v>
      </c>
      <c r="AN14" s="90">
        <f t="shared" si="12"/>
        <v>0</v>
      </c>
      <c r="AO14" s="90">
        <f t="shared" si="5"/>
        <v>0</v>
      </c>
      <c r="AP14" s="90">
        <f t="shared" si="6"/>
        <v>0</v>
      </c>
      <c r="AQ14" s="90">
        <f t="shared" si="7"/>
        <v>5</v>
      </c>
      <c r="AS14" s="99" t="str">
        <f>AC14</f>
        <v>Finland</v>
      </c>
      <c r="AT14" s="100">
        <f>IF(uitslag!U14="",0,IF(U14=uitslag!U14,10,0))</f>
        <v>0</v>
      </c>
    </row>
    <row r="15" spans="1:46" ht="15.75" thickBot="1" x14ac:dyDescent="0.25">
      <c r="A15" s="1">
        <v>9</v>
      </c>
      <c r="B15" s="2">
        <v>44361.75</v>
      </c>
      <c r="C15" s="7" t="s">
        <v>26</v>
      </c>
      <c r="D15" s="7"/>
      <c r="E15" s="1" t="s">
        <v>27</v>
      </c>
      <c r="F15" s="2" t="s">
        <v>28</v>
      </c>
      <c r="G15" s="13" t="s">
        <v>52</v>
      </c>
      <c r="H15" s="1" t="s">
        <v>50</v>
      </c>
      <c r="I15" s="91"/>
      <c r="J15" s="92" t="s">
        <v>52</v>
      </c>
      <c r="K15" s="93"/>
      <c r="L15" s="94" t="str">
        <f t="shared" si="8"/>
        <v/>
      </c>
      <c r="P15" s="95" t="s">
        <v>12</v>
      </c>
      <c r="Q15" s="96">
        <f ca="1">SUMIF($F$7:$F$42,$P15,$I$7:$I$41)+SUMIF($H$7:$H$41,$P15,$K$7:$K$41)</f>
        <v>0</v>
      </c>
      <c r="R15" s="96">
        <f>SUMIF($F$7:$F$54,$P15,$K$7:$K$54)+SUMIF($H$7:$H$54,$P15,$I$7:$I$54)</f>
        <v>0</v>
      </c>
      <c r="S15" s="96">
        <f ca="1">Q15-R15</f>
        <v>0</v>
      </c>
      <c r="T15" s="96">
        <f t="shared" si="13"/>
        <v>0</v>
      </c>
      <c r="U15" s="97"/>
      <c r="X15" s="83">
        <f t="shared" si="10"/>
        <v>0</v>
      </c>
      <c r="Y15" s="84">
        <f>AT15</f>
        <v>0</v>
      </c>
      <c r="AC15" s="85" t="str">
        <f>P15</f>
        <v>België</v>
      </c>
      <c r="AD15" s="85" t="s">
        <v>83</v>
      </c>
      <c r="AE15" s="85"/>
      <c r="AF15" s="98" t="str">
        <f t="shared" si="1"/>
        <v/>
      </c>
      <c r="AG15" s="98" t="str">
        <f t="shared" si="2"/>
        <v/>
      </c>
      <c r="AH15" s="15" t="str">
        <f>IF((uitslag!I15=""),"",(uitslag!I15))</f>
        <v/>
      </c>
      <c r="AI15" s="16" t="str">
        <f>IF((uitslag!K15=""),"",(uitslag!K15))</f>
        <v/>
      </c>
      <c r="AK15" s="90">
        <f t="shared" si="11"/>
        <v>0</v>
      </c>
      <c r="AL15" s="90">
        <f t="shared" si="3"/>
        <v>0</v>
      </c>
      <c r="AM15" s="90">
        <f t="shared" si="4"/>
        <v>0</v>
      </c>
      <c r="AN15" s="90">
        <f t="shared" si="12"/>
        <v>0</v>
      </c>
      <c r="AO15" s="90">
        <f t="shared" si="5"/>
        <v>0</v>
      </c>
      <c r="AP15" s="90">
        <f t="shared" si="6"/>
        <v>0</v>
      </c>
      <c r="AQ15" s="90">
        <f t="shared" si="7"/>
        <v>5</v>
      </c>
      <c r="AS15" s="99" t="str">
        <f>AC15</f>
        <v>België</v>
      </c>
      <c r="AT15" s="100">
        <f>IF(uitslag!U15="",0,IF(U15=uitslag!U15,10,0))</f>
        <v>0</v>
      </c>
    </row>
    <row r="16" spans="1:46" x14ac:dyDescent="0.2">
      <c r="A16" s="1">
        <v>10</v>
      </c>
      <c r="B16" s="2">
        <v>44361.875</v>
      </c>
      <c r="C16" s="7" t="s">
        <v>26</v>
      </c>
      <c r="D16" s="7"/>
      <c r="E16" s="1" t="s">
        <v>29</v>
      </c>
      <c r="F16" s="2" t="s">
        <v>30</v>
      </c>
      <c r="G16" s="13" t="s">
        <v>52</v>
      </c>
      <c r="H16" s="1" t="s">
        <v>31</v>
      </c>
      <c r="I16" s="91"/>
      <c r="J16" s="92" t="s">
        <v>52</v>
      </c>
      <c r="K16" s="93"/>
      <c r="L16" s="94" t="str">
        <f t="shared" si="8"/>
        <v/>
      </c>
      <c r="P16" s="95" t="s">
        <v>13</v>
      </c>
      <c r="Q16" s="96">
        <f ca="1">SUMIF($F$7:$F$42,$P16,$I$7:$I$41)+SUMIF($H$7:$H$41,$P16,$K$7:$K$41)</f>
        <v>0</v>
      </c>
      <c r="R16" s="96">
        <f>SUMIF($F$7:$F$54,$P16,$K$7:$K$54)+SUMIF($H$7:$H$54,$P16,$I$7:$I$54)</f>
        <v>0</v>
      </c>
      <c r="S16" s="96">
        <f ca="1">Q16-R16</f>
        <v>0</v>
      </c>
      <c r="T16" s="96">
        <f t="shared" si="13"/>
        <v>0</v>
      </c>
      <c r="U16" s="97"/>
      <c r="X16" s="83">
        <f t="shared" si="10"/>
        <v>0</v>
      </c>
      <c r="Y16" s="84">
        <f>AT16</f>
        <v>0</v>
      </c>
      <c r="AC16" s="85" t="str">
        <f>P16</f>
        <v>Rusland</v>
      </c>
      <c r="AD16" s="85" t="s">
        <v>84</v>
      </c>
      <c r="AE16" s="85"/>
      <c r="AF16" s="98" t="str">
        <f t="shared" si="1"/>
        <v/>
      </c>
      <c r="AG16" s="98" t="str">
        <f t="shared" si="2"/>
        <v/>
      </c>
      <c r="AH16" s="15" t="str">
        <f>IF((uitslag!I16=""),"",(uitslag!I16))</f>
        <v/>
      </c>
      <c r="AI16" s="16" t="str">
        <f>IF((uitslag!K16=""),"",(uitslag!K16))</f>
        <v/>
      </c>
      <c r="AK16" s="90">
        <f t="shared" si="11"/>
        <v>0</v>
      </c>
      <c r="AL16" s="90">
        <f t="shared" si="3"/>
        <v>0</v>
      </c>
      <c r="AM16" s="90">
        <f t="shared" si="4"/>
        <v>0</v>
      </c>
      <c r="AN16" s="90">
        <f t="shared" si="12"/>
        <v>0</v>
      </c>
      <c r="AO16" s="90">
        <f t="shared" si="5"/>
        <v>0</v>
      </c>
      <c r="AP16" s="90">
        <f t="shared" si="6"/>
        <v>0</v>
      </c>
      <c r="AQ16" s="90">
        <f t="shared" si="7"/>
        <v>5</v>
      </c>
      <c r="AS16" s="99" t="str">
        <f>AC16</f>
        <v>Rusland</v>
      </c>
      <c r="AT16" s="100">
        <f>IF(uitslag!U16="",0,IF(U16=uitslag!U16,10,0))</f>
        <v>0</v>
      </c>
    </row>
    <row r="17" spans="1:46" x14ac:dyDescent="0.2">
      <c r="A17" s="1">
        <v>11</v>
      </c>
      <c r="B17" s="2">
        <v>44362.75</v>
      </c>
      <c r="C17" s="8" t="s">
        <v>32</v>
      </c>
      <c r="D17" s="8"/>
      <c r="E17" s="1" t="s">
        <v>33</v>
      </c>
      <c r="F17" s="2" t="s">
        <v>51</v>
      </c>
      <c r="G17" s="13" t="s">
        <v>52</v>
      </c>
      <c r="H17" s="1" t="s">
        <v>34</v>
      </c>
      <c r="I17" s="91"/>
      <c r="J17" s="92" t="s">
        <v>52</v>
      </c>
      <c r="K17" s="93"/>
      <c r="L17" s="94" t="str">
        <f t="shared" si="8"/>
        <v/>
      </c>
      <c r="X17" s="83">
        <f t="shared" si="10"/>
        <v>0</v>
      </c>
      <c r="AF17" s="98" t="str">
        <f t="shared" si="1"/>
        <v/>
      </c>
      <c r="AG17" s="98" t="str">
        <f t="shared" si="2"/>
        <v/>
      </c>
      <c r="AH17" s="15" t="str">
        <f>IF((uitslag!I17=""),"",(uitslag!I17))</f>
        <v/>
      </c>
      <c r="AI17" s="16" t="str">
        <f>IF((uitslag!K17=""),"",(uitslag!K17))</f>
        <v/>
      </c>
      <c r="AK17" s="90">
        <f t="shared" si="11"/>
        <v>0</v>
      </c>
      <c r="AL17" s="90">
        <f t="shared" si="3"/>
        <v>0</v>
      </c>
      <c r="AM17" s="90">
        <f t="shared" si="4"/>
        <v>0</v>
      </c>
      <c r="AN17" s="90">
        <f t="shared" si="12"/>
        <v>0</v>
      </c>
      <c r="AO17" s="90">
        <f t="shared" si="5"/>
        <v>0</v>
      </c>
      <c r="AP17" s="90">
        <f t="shared" si="6"/>
        <v>0</v>
      </c>
      <c r="AQ17" s="90">
        <f t="shared" si="7"/>
        <v>5</v>
      </c>
    </row>
    <row r="18" spans="1:46" ht="15.75" thickBot="1" x14ac:dyDescent="0.25">
      <c r="A18" s="1">
        <v>12</v>
      </c>
      <c r="B18" s="2">
        <v>44362.875</v>
      </c>
      <c r="C18" s="8" t="s">
        <v>32</v>
      </c>
      <c r="D18" s="8"/>
      <c r="E18" s="1" t="s">
        <v>35</v>
      </c>
      <c r="F18" s="2" t="s">
        <v>36</v>
      </c>
      <c r="G18" s="13" t="s">
        <v>52</v>
      </c>
      <c r="H18" s="1" t="s">
        <v>37</v>
      </c>
      <c r="I18" s="91"/>
      <c r="J18" s="92" t="s">
        <v>52</v>
      </c>
      <c r="K18" s="93"/>
      <c r="L18" s="94" t="str">
        <f t="shared" si="8"/>
        <v/>
      </c>
      <c r="P18" s="6" t="s">
        <v>67</v>
      </c>
      <c r="Q18" s="6" t="s">
        <v>56</v>
      </c>
      <c r="R18" s="6" t="s">
        <v>57</v>
      </c>
      <c r="S18" s="6" t="s">
        <v>58</v>
      </c>
      <c r="T18" s="6" t="s">
        <v>59</v>
      </c>
      <c r="U18" s="6" t="s">
        <v>60</v>
      </c>
      <c r="X18" s="83">
        <f t="shared" si="10"/>
        <v>0</v>
      </c>
      <c r="AF18" s="98" t="str">
        <f t="shared" si="1"/>
        <v/>
      </c>
      <c r="AG18" s="98" t="str">
        <f t="shared" si="2"/>
        <v/>
      </c>
      <c r="AH18" s="15" t="str">
        <f>IF((uitslag!I18=""),"",(uitslag!I18))</f>
        <v/>
      </c>
      <c r="AI18" s="16" t="str">
        <f>IF((uitslag!K18=""),"",(uitslag!K18))</f>
        <v/>
      </c>
      <c r="AK18" s="90">
        <f t="shared" si="11"/>
        <v>0</v>
      </c>
      <c r="AL18" s="90">
        <f t="shared" si="3"/>
        <v>0</v>
      </c>
      <c r="AM18" s="90">
        <f t="shared" si="4"/>
        <v>0</v>
      </c>
      <c r="AN18" s="90">
        <f t="shared" si="12"/>
        <v>0</v>
      </c>
      <c r="AO18" s="90">
        <f t="shared" si="5"/>
        <v>0</v>
      </c>
      <c r="AP18" s="90">
        <f t="shared" si="6"/>
        <v>0</v>
      </c>
      <c r="AQ18" s="90">
        <f t="shared" si="7"/>
        <v>5</v>
      </c>
      <c r="AS18" s="6" t="s">
        <v>67</v>
      </c>
      <c r="AT18" s="6" t="s">
        <v>60</v>
      </c>
    </row>
    <row r="19" spans="1:46" ht="15.75" thickBot="1" x14ac:dyDescent="0.25">
      <c r="A19" s="1">
        <v>13</v>
      </c>
      <c r="B19" s="2">
        <v>44363.625</v>
      </c>
      <c r="C19" s="4" t="s">
        <v>7</v>
      </c>
      <c r="D19" s="4"/>
      <c r="E19" s="1" t="s">
        <v>11</v>
      </c>
      <c r="F19" s="2" t="s">
        <v>10</v>
      </c>
      <c r="G19" s="13" t="s">
        <v>52</v>
      </c>
      <c r="H19" s="1" t="s">
        <v>13</v>
      </c>
      <c r="I19" s="91"/>
      <c r="J19" s="92" t="s">
        <v>52</v>
      </c>
      <c r="K19" s="93"/>
      <c r="L19" s="94" t="str">
        <f t="shared" si="8"/>
        <v/>
      </c>
      <c r="P19" s="95" t="s">
        <v>20</v>
      </c>
      <c r="Q19" s="96">
        <f ca="1">SUMIF($F$7:$F$42,$P19,$I$7:$I$41)+SUMIF($H$7:$H$41,$P19,$K$7:$K$41)</f>
        <v>0</v>
      </c>
      <c r="R19" s="96">
        <f>SUMIF($F$7:$F$54,$P19,$K$7:$K$54)+SUMIF($H$7:$H$54,$P19,$I$7:$I$54)</f>
        <v>0</v>
      </c>
      <c r="S19" s="96">
        <f ca="1">Q19-R19</f>
        <v>0</v>
      </c>
      <c r="T19" s="96">
        <f>SUMIF($F$7:$F$42,$P19,$AF$7:$AF$42)+SUMIF($H$7:$H$42,$P19,$AG$7:$AG$42)</f>
        <v>0</v>
      </c>
      <c r="U19" s="97"/>
      <c r="X19" s="83">
        <f t="shared" si="10"/>
        <v>0</v>
      </c>
      <c r="Y19" s="84">
        <f>AT19</f>
        <v>0</v>
      </c>
      <c r="AC19" s="85" t="str">
        <f>P19</f>
        <v>Oostenrijk</v>
      </c>
      <c r="AD19" s="85" t="s">
        <v>85</v>
      </c>
      <c r="AE19" s="85"/>
      <c r="AF19" s="98" t="str">
        <f t="shared" si="1"/>
        <v/>
      </c>
      <c r="AG19" s="98" t="str">
        <f t="shared" si="2"/>
        <v/>
      </c>
      <c r="AH19" s="15" t="str">
        <f>IF((uitslag!I19=""),"",(uitslag!I19))</f>
        <v/>
      </c>
      <c r="AI19" s="16" t="str">
        <f>IF((uitslag!K19=""),"",(uitslag!K19))</f>
        <v/>
      </c>
      <c r="AK19" s="90">
        <f t="shared" si="11"/>
        <v>0</v>
      </c>
      <c r="AL19" s="90">
        <f t="shared" si="3"/>
        <v>0</v>
      </c>
      <c r="AM19" s="90">
        <f t="shared" si="4"/>
        <v>0</v>
      </c>
      <c r="AN19" s="90">
        <f t="shared" si="12"/>
        <v>0</v>
      </c>
      <c r="AO19" s="90">
        <f t="shared" si="5"/>
        <v>0</v>
      </c>
      <c r="AP19" s="90">
        <f t="shared" si="6"/>
        <v>0</v>
      </c>
      <c r="AQ19" s="90">
        <f t="shared" si="7"/>
        <v>5</v>
      </c>
      <c r="AS19" s="99" t="str">
        <f>AC19</f>
        <v>Oostenrijk</v>
      </c>
      <c r="AT19" s="100">
        <f>IF(uitslag!U19="",0,IF(U19=uitslag!U19,10,0))</f>
        <v>0</v>
      </c>
    </row>
    <row r="20" spans="1:46" ht="15.75" thickBot="1" x14ac:dyDescent="0.25">
      <c r="A20" s="1">
        <v>14</v>
      </c>
      <c r="B20" s="2">
        <v>44363.75</v>
      </c>
      <c r="C20" s="3" t="s">
        <v>0</v>
      </c>
      <c r="D20" s="3"/>
      <c r="E20" s="1" t="s">
        <v>4</v>
      </c>
      <c r="F20" s="2" t="s">
        <v>2</v>
      </c>
      <c r="G20" s="13" t="s">
        <v>52</v>
      </c>
      <c r="H20" s="1" t="s">
        <v>5</v>
      </c>
      <c r="I20" s="91"/>
      <c r="J20" s="92" t="s">
        <v>52</v>
      </c>
      <c r="K20" s="93"/>
      <c r="L20" s="94" t="str">
        <f t="shared" si="8"/>
        <v/>
      </c>
      <c r="P20" s="95" t="s">
        <v>48</v>
      </c>
      <c r="Q20" s="96">
        <f ca="1">SUMIF($F$7:$F$42,$P20,$I$7:$I$41)+SUMIF($H$7:$H$41,$P20,$K$7:$K$41)</f>
        <v>0</v>
      </c>
      <c r="R20" s="96">
        <f>SUMIF($F$7:$F$54,$P20,$K$7:$K$54)+SUMIF($H$7:$H$54,$P20,$I$7:$I$54)</f>
        <v>0</v>
      </c>
      <c r="S20" s="96">
        <f ca="1">Q20-R20</f>
        <v>0</v>
      </c>
      <c r="T20" s="96">
        <f>SUMIF($F$7:$F$42,$P20,$AF$7:$AF$42)+SUMIF($H$7:$H$42,$P20,$AG$7:$AG$42)</f>
        <v>0</v>
      </c>
      <c r="U20" s="97"/>
      <c r="X20" s="83">
        <f t="shared" si="10"/>
        <v>0</v>
      </c>
      <c r="Y20" s="84">
        <f>AT20</f>
        <v>0</v>
      </c>
      <c r="AC20" s="85" t="str">
        <f>P20</f>
        <v>Noord-Macedonie</v>
      </c>
      <c r="AD20" s="85" t="s">
        <v>86</v>
      </c>
      <c r="AE20" s="85"/>
      <c r="AF20" s="98" t="str">
        <f t="shared" si="1"/>
        <v/>
      </c>
      <c r="AG20" s="98" t="str">
        <f t="shared" si="2"/>
        <v/>
      </c>
      <c r="AH20" s="15" t="str">
        <f>IF((uitslag!I20=""),"",(uitslag!I20))</f>
        <v/>
      </c>
      <c r="AI20" s="16" t="str">
        <f>IF((uitslag!K20=""),"",(uitslag!K20))</f>
        <v/>
      </c>
      <c r="AK20" s="90">
        <f t="shared" si="11"/>
        <v>0</v>
      </c>
      <c r="AL20" s="90">
        <f t="shared" si="3"/>
        <v>0</v>
      </c>
      <c r="AM20" s="90">
        <f t="shared" si="4"/>
        <v>0</v>
      </c>
      <c r="AN20" s="90">
        <f t="shared" si="12"/>
        <v>0</v>
      </c>
      <c r="AO20" s="90">
        <f t="shared" si="5"/>
        <v>0</v>
      </c>
      <c r="AP20" s="90">
        <f t="shared" si="6"/>
        <v>0</v>
      </c>
      <c r="AQ20" s="90">
        <f t="shared" si="7"/>
        <v>5</v>
      </c>
      <c r="AS20" s="99" t="str">
        <f>AC20</f>
        <v>Noord-Macedonie</v>
      </c>
      <c r="AT20" s="100">
        <f>IF(uitslag!U20="",0,IF(U20=uitslag!U20,10,0))</f>
        <v>0</v>
      </c>
    </row>
    <row r="21" spans="1:46" ht="15.75" thickBot="1" x14ac:dyDescent="0.25">
      <c r="A21" s="1">
        <v>15</v>
      </c>
      <c r="B21" s="2">
        <v>44363.875</v>
      </c>
      <c r="C21" s="3" t="s">
        <v>0</v>
      </c>
      <c r="D21" s="3"/>
      <c r="E21" s="1" t="s">
        <v>1</v>
      </c>
      <c r="F21" s="2" t="s">
        <v>3</v>
      </c>
      <c r="G21" s="13" t="s">
        <v>52</v>
      </c>
      <c r="H21" s="1" t="s">
        <v>6</v>
      </c>
      <c r="I21" s="91"/>
      <c r="J21" s="92" t="s">
        <v>52</v>
      </c>
      <c r="K21" s="93"/>
      <c r="L21" s="94" t="str">
        <f t="shared" si="8"/>
        <v/>
      </c>
      <c r="P21" s="95" t="s">
        <v>22</v>
      </c>
      <c r="Q21" s="96">
        <f ca="1">SUMIF($F$7:$F$42,$P21,$I$7:$I$41)+SUMIF($H$7:$H$41,$P21,$K$7:$K$41)</f>
        <v>0</v>
      </c>
      <c r="R21" s="96">
        <f>SUMIF($F$7:$F$54,$P21,$K$7:$K$54)+SUMIF($H$7:$H$54,$P21,$I$7:$I$54)</f>
        <v>0</v>
      </c>
      <c r="S21" s="96">
        <f ca="1">Q21-R21</f>
        <v>0</v>
      </c>
      <c r="T21" s="96">
        <f t="shared" ref="T21:T22" si="14">SUMIF($F$7:$F$42,$P21,$AF$7:$AF$42)+SUMIF($H$7:$H$42,$P21,$AG$7:$AG$42)</f>
        <v>0</v>
      </c>
      <c r="U21" s="97"/>
      <c r="X21" s="83">
        <f t="shared" si="10"/>
        <v>0</v>
      </c>
      <c r="Y21" s="84">
        <f>AT21</f>
        <v>0</v>
      </c>
      <c r="AC21" s="85" t="str">
        <f>P21</f>
        <v>Nederland</v>
      </c>
      <c r="AD21" s="85" t="s">
        <v>87</v>
      </c>
      <c r="AE21" s="85"/>
      <c r="AF21" s="98" t="str">
        <f t="shared" si="1"/>
        <v/>
      </c>
      <c r="AG21" s="98" t="str">
        <f t="shared" si="2"/>
        <v/>
      </c>
      <c r="AH21" s="15" t="str">
        <f>IF((uitslag!I21=""),"",(uitslag!I21))</f>
        <v/>
      </c>
      <c r="AI21" s="16" t="str">
        <f>IF((uitslag!K21=""),"",(uitslag!K21))</f>
        <v/>
      </c>
      <c r="AK21" s="90">
        <f t="shared" si="11"/>
        <v>0</v>
      </c>
      <c r="AL21" s="90">
        <f t="shared" si="3"/>
        <v>0</v>
      </c>
      <c r="AM21" s="90">
        <f t="shared" si="4"/>
        <v>0</v>
      </c>
      <c r="AN21" s="90">
        <f t="shared" si="12"/>
        <v>0</v>
      </c>
      <c r="AO21" s="90">
        <f t="shared" si="5"/>
        <v>0</v>
      </c>
      <c r="AP21" s="90">
        <f t="shared" si="6"/>
        <v>0</v>
      </c>
      <c r="AQ21" s="90">
        <f t="shared" si="7"/>
        <v>5</v>
      </c>
      <c r="AS21" s="99" t="str">
        <f>AC21</f>
        <v>Nederland</v>
      </c>
      <c r="AT21" s="100">
        <f>IF(uitslag!U21="",0,IF(U21=uitslag!U21,10,0))</f>
        <v>0</v>
      </c>
    </row>
    <row r="22" spans="1:46" x14ac:dyDescent="0.2">
      <c r="A22" s="1">
        <v>16</v>
      </c>
      <c r="B22" s="2">
        <v>44364.625</v>
      </c>
      <c r="C22" s="6" t="s">
        <v>18</v>
      </c>
      <c r="D22" s="6"/>
      <c r="E22" s="1" t="s">
        <v>19</v>
      </c>
      <c r="F22" s="2" t="s">
        <v>23</v>
      </c>
      <c r="G22" s="13" t="s">
        <v>52</v>
      </c>
      <c r="H22" s="1" t="s">
        <v>48</v>
      </c>
      <c r="I22" s="91"/>
      <c r="J22" s="92" t="s">
        <v>52</v>
      </c>
      <c r="K22" s="93"/>
      <c r="L22" s="94" t="str">
        <f t="shared" si="8"/>
        <v/>
      </c>
      <c r="P22" s="95" t="s">
        <v>23</v>
      </c>
      <c r="Q22" s="96">
        <f ca="1">SUMIF($F$7:$F$42,$P22,$I$7:$I$41)+SUMIF($H$7:$H$41,$P22,$K$7:$K$41)</f>
        <v>0</v>
      </c>
      <c r="R22" s="96">
        <f>SUMIF($F$7:$F$54,$P22,$K$7:$K$54)+SUMIF($H$7:$H$54,$P22,$I$7:$I$54)</f>
        <v>0</v>
      </c>
      <c r="S22" s="96">
        <f ca="1">Q22-R22</f>
        <v>0</v>
      </c>
      <c r="T22" s="96">
        <f t="shared" si="14"/>
        <v>0</v>
      </c>
      <c r="U22" s="97"/>
      <c r="X22" s="83">
        <f t="shared" si="10"/>
        <v>0</v>
      </c>
      <c r="Y22" s="84">
        <f>AT22</f>
        <v>0</v>
      </c>
      <c r="AC22" s="85" t="str">
        <f>P22</f>
        <v>Oekraïne</v>
      </c>
      <c r="AD22" s="85" t="s">
        <v>88</v>
      </c>
      <c r="AE22" s="85"/>
      <c r="AF22" s="98" t="str">
        <f t="shared" si="1"/>
        <v/>
      </c>
      <c r="AG22" s="98" t="str">
        <f t="shared" si="2"/>
        <v/>
      </c>
      <c r="AH22" s="15" t="str">
        <f>IF((uitslag!I22=""),"",(uitslag!I22))</f>
        <v/>
      </c>
      <c r="AI22" s="16" t="str">
        <f>IF((uitslag!K22=""),"",(uitslag!K22))</f>
        <v/>
      </c>
      <c r="AK22" s="90">
        <f t="shared" si="11"/>
        <v>0</v>
      </c>
      <c r="AL22" s="90">
        <f t="shared" si="3"/>
        <v>0</v>
      </c>
      <c r="AM22" s="90">
        <f t="shared" si="4"/>
        <v>0</v>
      </c>
      <c r="AN22" s="90">
        <f t="shared" si="12"/>
        <v>0</v>
      </c>
      <c r="AO22" s="90">
        <f t="shared" si="5"/>
        <v>0</v>
      </c>
      <c r="AP22" s="90">
        <f t="shared" si="6"/>
        <v>0</v>
      </c>
      <c r="AQ22" s="90">
        <f t="shared" si="7"/>
        <v>5</v>
      </c>
      <c r="AS22" s="99" t="str">
        <f>AC22</f>
        <v>Oekraïne</v>
      </c>
      <c r="AT22" s="100">
        <f>IF(uitslag!U22="",0,IF(U22=uitslag!U22,10,0))</f>
        <v>0</v>
      </c>
    </row>
    <row r="23" spans="1:46" x14ac:dyDescent="0.2">
      <c r="A23" s="1">
        <v>17</v>
      </c>
      <c r="B23" s="2">
        <v>44364.75</v>
      </c>
      <c r="C23" s="4" t="s">
        <v>7</v>
      </c>
      <c r="D23" s="4"/>
      <c r="E23" s="1" t="s">
        <v>8</v>
      </c>
      <c r="F23" s="2" t="s">
        <v>9</v>
      </c>
      <c r="G23" s="13" t="s">
        <v>52</v>
      </c>
      <c r="H23" s="1" t="s">
        <v>12</v>
      </c>
      <c r="I23" s="91"/>
      <c r="J23" s="92" t="s">
        <v>52</v>
      </c>
      <c r="K23" s="93"/>
      <c r="L23" s="94" t="str">
        <f t="shared" si="8"/>
        <v/>
      </c>
      <c r="X23" s="83">
        <f t="shared" si="10"/>
        <v>0</v>
      </c>
      <c r="AF23" s="98" t="str">
        <f t="shared" si="1"/>
        <v/>
      </c>
      <c r="AG23" s="98" t="str">
        <f t="shared" si="2"/>
        <v/>
      </c>
      <c r="AH23" s="15" t="str">
        <f>IF((uitslag!I23=""),"",(uitslag!I23))</f>
        <v/>
      </c>
      <c r="AI23" s="16" t="str">
        <f>IF((uitslag!K23=""),"",(uitslag!K23))</f>
        <v/>
      </c>
      <c r="AK23" s="90">
        <f t="shared" si="11"/>
        <v>0</v>
      </c>
      <c r="AL23" s="90">
        <f t="shared" si="3"/>
        <v>0</v>
      </c>
      <c r="AM23" s="90">
        <f t="shared" si="4"/>
        <v>0</v>
      </c>
      <c r="AN23" s="90">
        <f t="shared" si="12"/>
        <v>0</v>
      </c>
      <c r="AO23" s="90">
        <f t="shared" si="5"/>
        <v>0</v>
      </c>
      <c r="AP23" s="90">
        <f t="shared" si="6"/>
        <v>0</v>
      </c>
      <c r="AQ23" s="90">
        <f t="shared" si="7"/>
        <v>5</v>
      </c>
    </row>
    <row r="24" spans="1:46" ht="15.75" thickBot="1" x14ac:dyDescent="0.25">
      <c r="A24" s="1">
        <v>18</v>
      </c>
      <c r="B24" s="2">
        <v>44364.875</v>
      </c>
      <c r="C24" s="6" t="s">
        <v>18</v>
      </c>
      <c r="D24" s="6"/>
      <c r="E24" s="1" t="s">
        <v>21</v>
      </c>
      <c r="F24" s="2" t="s">
        <v>22</v>
      </c>
      <c r="G24" s="13" t="s">
        <v>52</v>
      </c>
      <c r="H24" s="1" t="s">
        <v>20</v>
      </c>
      <c r="I24" s="91"/>
      <c r="J24" s="92" t="s">
        <v>52</v>
      </c>
      <c r="K24" s="93"/>
      <c r="L24" s="94" t="str">
        <f t="shared" si="8"/>
        <v/>
      </c>
      <c r="P24" s="5" t="s">
        <v>68</v>
      </c>
      <c r="Q24" s="5" t="s">
        <v>56</v>
      </c>
      <c r="R24" s="5" t="s">
        <v>57</v>
      </c>
      <c r="S24" s="5" t="s">
        <v>58</v>
      </c>
      <c r="T24" s="5" t="s">
        <v>59</v>
      </c>
      <c r="U24" s="5" t="s">
        <v>60</v>
      </c>
      <c r="X24" s="83">
        <f t="shared" si="10"/>
        <v>0</v>
      </c>
      <c r="AF24" s="98" t="str">
        <f t="shared" si="1"/>
        <v/>
      </c>
      <c r="AG24" s="98" t="str">
        <f t="shared" si="2"/>
        <v/>
      </c>
      <c r="AH24" s="15" t="str">
        <f>IF((uitslag!I24=""),"",(uitslag!I24))</f>
        <v/>
      </c>
      <c r="AI24" s="16" t="str">
        <f>IF((uitslag!K24=""),"",(uitslag!K24))</f>
        <v/>
      </c>
      <c r="AK24" s="90">
        <f t="shared" si="11"/>
        <v>0</v>
      </c>
      <c r="AL24" s="90">
        <f t="shared" si="3"/>
        <v>0</v>
      </c>
      <c r="AM24" s="90">
        <f t="shared" si="4"/>
        <v>0</v>
      </c>
      <c r="AN24" s="90">
        <f t="shared" si="12"/>
        <v>0</v>
      </c>
      <c r="AO24" s="90">
        <f t="shared" si="5"/>
        <v>0</v>
      </c>
      <c r="AP24" s="90">
        <f t="shared" si="6"/>
        <v>0</v>
      </c>
      <c r="AQ24" s="90">
        <f t="shared" si="7"/>
        <v>5</v>
      </c>
      <c r="AS24" s="5" t="s">
        <v>68</v>
      </c>
      <c r="AT24" s="5" t="s">
        <v>60</v>
      </c>
    </row>
    <row r="25" spans="1:46" ht="15.75" thickBot="1" x14ac:dyDescent="0.25">
      <c r="A25" s="1">
        <v>19</v>
      </c>
      <c r="B25" s="2">
        <v>44365.625</v>
      </c>
      <c r="C25" s="7" t="s">
        <v>26</v>
      </c>
      <c r="D25" s="7"/>
      <c r="E25" s="1" t="s">
        <v>27</v>
      </c>
      <c r="F25" s="2" t="s">
        <v>31</v>
      </c>
      <c r="G25" s="13" t="s">
        <v>52</v>
      </c>
      <c r="H25" s="1" t="s">
        <v>50</v>
      </c>
      <c r="I25" s="91"/>
      <c r="J25" s="92" t="s">
        <v>52</v>
      </c>
      <c r="K25" s="93"/>
      <c r="L25" s="94" t="str">
        <f t="shared" si="8"/>
        <v/>
      </c>
      <c r="P25" s="95" t="s">
        <v>16</v>
      </c>
      <c r="Q25" s="96">
        <f ca="1">SUMIF($F$7:$F$42,$P25,$I$7:$I$41)+SUMIF($H$7:$H$41,$P25,$K$7:$K$41)</f>
        <v>0</v>
      </c>
      <c r="R25" s="96">
        <f>SUMIF($F$7:$F$54,$P25,$K$7:$K$54)+SUMIF($H$7:$H$54,$P25,$I$7:$I$54)</f>
        <v>0</v>
      </c>
      <c r="S25" s="96">
        <f ca="1">Q25-R25</f>
        <v>0</v>
      </c>
      <c r="T25" s="96">
        <f>SUMIF($F$7:$F$42,$P25,$AF$7:$AF$42)+SUMIF($H$7:$H$42,$P25,$AG$7:$AG$42)</f>
        <v>0</v>
      </c>
      <c r="U25" s="97"/>
      <c r="X25" s="83">
        <f t="shared" si="10"/>
        <v>0</v>
      </c>
      <c r="Y25" s="84">
        <f>AT25</f>
        <v>0</v>
      </c>
      <c r="AC25" s="85" t="str">
        <f>P25</f>
        <v>Engeland</v>
      </c>
      <c r="AD25" s="85" t="s">
        <v>89</v>
      </c>
      <c r="AE25" s="85"/>
      <c r="AF25" s="98" t="str">
        <f t="shared" si="1"/>
        <v/>
      </c>
      <c r="AG25" s="98" t="str">
        <f t="shared" si="2"/>
        <v/>
      </c>
      <c r="AH25" s="15" t="str">
        <f>IF((uitslag!I25=""),"",(uitslag!I25))</f>
        <v/>
      </c>
      <c r="AI25" s="16" t="str">
        <f>IF((uitslag!K25=""),"",(uitslag!K25))</f>
        <v/>
      </c>
      <c r="AK25" s="90">
        <f t="shared" si="11"/>
        <v>0</v>
      </c>
      <c r="AL25" s="90">
        <f t="shared" si="3"/>
        <v>0</v>
      </c>
      <c r="AM25" s="90">
        <f t="shared" si="4"/>
        <v>0</v>
      </c>
      <c r="AN25" s="90">
        <f t="shared" si="12"/>
        <v>0</v>
      </c>
      <c r="AO25" s="90">
        <f t="shared" si="5"/>
        <v>0</v>
      </c>
      <c r="AP25" s="90">
        <f t="shared" si="6"/>
        <v>0</v>
      </c>
      <c r="AQ25" s="90">
        <f t="shared" si="7"/>
        <v>5</v>
      </c>
      <c r="AS25" s="99" t="str">
        <f>AC25</f>
        <v>Engeland</v>
      </c>
      <c r="AT25" s="100">
        <f>IF(uitslag!U25="",0,IF(U25=uitslag!U25,10,0))</f>
        <v>0</v>
      </c>
    </row>
    <row r="26" spans="1:46" ht="15.75" thickBot="1" x14ac:dyDescent="0.25">
      <c r="A26" s="1">
        <v>20</v>
      </c>
      <c r="B26" s="2">
        <v>44365.75</v>
      </c>
      <c r="C26" s="5" t="s">
        <v>14</v>
      </c>
      <c r="D26" s="5"/>
      <c r="E26" s="1" t="s">
        <v>24</v>
      </c>
      <c r="F26" s="2" t="s">
        <v>17</v>
      </c>
      <c r="G26" s="13" t="s">
        <v>52</v>
      </c>
      <c r="H26" s="1" t="s">
        <v>25</v>
      </c>
      <c r="I26" s="91"/>
      <c r="J26" s="92" t="s">
        <v>52</v>
      </c>
      <c r="K26" s="93"/>
      <c r="L26" s="94" t="str">
        <f t="shared" si="8"/>
        <v/>
      </c>
      <c r="P26" s="75" t="s">
        <v>17</v>
      </c>
      <c r="Q26" s="96">
        <f ca="1">SUMIF($F$7:$F$42,$P26,$I$7:$I$41)+SUMIF($H$7:$H$41,$P26,$K$7:$K$41)</f>
        <v>0</v>
      </c>
      <c r="R26" s="96">
        <f>SUMIF($F$7:$F$54,$P26,$K$7:$K$54)+SUMIF($H$7:$H$54,$P26,$I$7:$I$54)</f>
        <v>0</v>
      </c>
      <c r="S26" s="96">
        <f ca="1">Q26-R26</f>
        <v>0</v>
      </c>
      <c r="T26" s="96">
        <f t="shared" ref="T26:T28" si="15">SUMIF($F$7:$F$42,$P26,$AF$7:$AF$42)+SUMIF($H$7:$H$42,$P26,$AG$7:$AG$42)</f>
        <v>0</v>
      </c>
      <c r="U26" s="97"/>
      <c r="X26" s="83">
        <f t="shared" si="10"/>
        <v>0</v>
      </c>
      <c r="Y26" s="84">
        <f>AT26</f>
        <v>0</v>
      </c>
      <c r="AC26" s="85" t="str">
        <f>P26</f>
        <v>Kroatië</v>
      </c>
      <c r="AD26" s="85" t="s">
        <v>90</v>
      </c>
      <c r="AE26" s="85"/>
      <c r="AF26" s="98" t="str">
        <f t="shared" si="1"/>
        <v/>
      </c>
      <c r="AG26" s="98" t="str">
        <f t="shared" si="2"/>
        <v/>
      </c>
      <c r="AH26" s="15" t="str">
        <f>IF((uitslag!I26=""),"",(uitslag!I26))</f>
        <v/>
      </c>
      <c r="AI26" s="16" t="str">
        <f>IF((uitslag!K26=""),"",(uitslag!K26))</f>
        <v/>
      </c>
      <c r="AK26" s="90">
        <f t="shared" si="11"/>
        <v>0</v>
      </c>
      <c r="AL26" s="90">
        <f t="shared" si="3"/>
        <v>0</v>
      </c>
      <c r="AM26" s="90">
        <f t="shared" si="4"/>
        <v>0</v>
      </c>
      <c r="AN26" s="90">
        <f t="shared" si="12"/>
        <v>0</v>
      </c>
      <c r="AO26" s="90">
        <f t="shared" si="5"/>
        <v>0</v>
      </c>
      <c r="AP26" s="90">
        <f t="shared" si="6"/>
        <v>0</v>
      </c>
      <c r="AQ26" s="90">
        <f t="shared" si="7"/>
        <v>5</v>
      </c>
      <c r="AS26" s="99" t="str">
        <f>AC26</f>
        <v>Kroatië</v>
      </c>
      <c r="AT26" s="100">
        <f>IF(uitslag!U26="",0,IF(U26=uitslag!U26,10,0))</f>
        <v>0</v>
      </c>
    </row>
    <row r="27" spans="1:46" ht="15.75" thickBot="1" x14ac:dyDescent="0.25">
      <c r="A27" s="1">
        <v>21</v>
      </c>
      <c r="B27" s="2">
        <v>44365.875</v>
      </c>
      <c r="C27" s="5" t="s">
        <v>14</v>
      </c>
      <c r="D27" s="5"/>
      <c r="E27" s="1" t="s">
        <v>15</v>
      </c>
      <c r="F27" s="2" t="s">
        <v>16</v>
      </c>
      <c r="G27" s="13" t="s">
        <v>52</v>
      </c>
      <c r="H27" s="1" t="s">
        <v>49</v>
      </c>
      <c r="I27" s="91"/>
      <c r="J27" s="92" t="s">
        <v>52</v>
      </c>
      <c r="K27" s="93"/>
      <c r="L27" s="94" t="str">
        <f t="shared" si="8"/>
        <v/>
      </c>
      <c r="P27" s="95" t="s">
        <v>49</v>
      </c>
      <c r="Q27" s="96">
        <f ca="1">SUMIF($F$7:$F$42,$P27,$I$7:$I$41)+SUMIF($H$7:$H$41,$P27,$K$7:$K$41)</f>
        <v>0</v>
      </c>
      <c r="R27" s="96">
        <f>SUMIF($F$7:$F$54,$P27,$K$7:$K$54)+SUMIF($H$7:$H$54,$P27,$I$7:$I$54)</f>
        <v>0</v>
      </c>
      <c r="S27" s="96">
        <f ca="1">Q27-R27</f>
        <v>0</v>
      </c>
      <c r="T27" s="96">
        <f t="shared" si="15"/>
        <v>0</v>
      </c>
      <c r="U27" s="97"/>
      <c r="X27" s="83">
        <f t="shared" si="10"/>
        <v>0</v>
      </c>
      <c r="Y27" s="84">
        <f>AT27</f>
        <v>0</v>
      </c>
      <c r="AC27" s="85" t="str">
        <f>P27</f>
        <v>Schotland</v>
      </c>
      <c r="AD27" s="85" t="s">
        <v>91</v>
      </c>
      <c r="AE27" s="85"/>
      <c r="AF27" s="98" t="str">
        <f t="shared" si="1"/>
        <v/>
      </c>
      <c r="AG27" s="98" t="str">
        <f t="shared" si="2"/>
        <v/>
      </c>
      <c r="AH27" s="15" t="str">
        <f>IF((uitslag!I27=""),"",(uitslag!I27))</f>
        <v/>
      </c>
      <c r="AI27" s="16" t="str">
        <f>IF((uitslag!K27=""),"",(uitslag!K27))</f>
        <v/>
      </c>
      <c r="AK27" s="90">
        <f t="shared" si="11"/>
        <v>0</v>
      </c>
      <c r="AL27" s="90">
        <f t="shared" si="3"/>
        <v>0</v>
      </c>
      <c r="AM27" s="90">
        <f t="shared" si="4"/>
        <v>0</v>
      </c>
      <c r="AN27" s="90">
        <f t="shared" si="12"/>
        <v>0</v>
      </c>
      <c r="AO27" s="90">
        <f t="shared" si="5"/>
        <v>0</v>
      </c>
      <c r="AP27" s="90">
        <f t="shared" si="6"/>
        <v>0</v>
      </c>
      <c r="AQ27" s="90">
        <f t="shared" si="7"/>
        <v>5</v>
      </c>
      <c r="AS27" s="99" t="str">
        <f>AC27</f>
        <v>Schotland</v>
      </c>
      <c r="AT27" s="100">
        <f>IF(uitslag!U27="",0,IF(U27=uitslag!U27,10,0))</f>
        <v>0</v>
      </c>
    </row>
    <row r="28" spans="1:46" x14ac:dyDescent="0.2">
      <c r="A28" s="1">
        <v>22</v>
      </c>
      <c r="B28" s="2">
        <v>44366.625</v>
      </c>
      <c r="C28" s="8" t="s">
        <v>32</v>
      </c>
      <c r="D28" s="8"/>
      <c r="E28" s="1" t="s">
        <v>33</v>
      </c>
      <c r="F28" s="2" t="s">
        <v>51</v>
      </c>
      <c r="G28" s="13" t="s">
        <v>52</v>
      </c>
      <c r="H28" s="1" t="s">
        <v>36</v>
      </c>
      <c r="I28" s="91"/>
      <c r="J28" s="92" t="s">
        <v>52</v>
      </c>
      <c r="K28" s="93"/>
      <c r="L28" s="94" t="str">
        <f t="shared" si="8"/>
        <v/>
      </c>
      <c r="P28" s="95" t="s">
        <v>25</v>
      </c>
      <c r="Q28" s="96">
        <f ca="1">SUMIF($F$7:$F$42,$P28,$I$7:$I$41)+SUMIF($H$7:$H$41,$P28,$K$7:$K$41)</f>
        <v>0</v>
      </c>
      <c r="R28" s="96">
        <f>SUMIF($F$7:$F$54,$P28,$K$7:$K$54)+SUMIF($H$7:$H$54,$P28,$I$7:$I$54)</f>
        <v>0</v>
      </c>
      <c r="S28" s="96">
        <f ca="1">Q28-R28</f>
        <v>0</v>
      </c>
      <c r="T28" s="96">
        <f t="shared" si="15"/>
        <v>0</v>
      </c>
      <c r="U28" s="97"/>
      <c r="X28" s="83">
        <f t="shared" si="10"/>
        <v>0</v>
      </c>
      <c r="Y28" s="84">
        <f>AT28</f>
        <v>0</v>
      </c>
      <c r="AC28" s="85" t="str">
        <f>P28</f>
        <v>Tsjechië</v>
      </c>
      <c r="AD28" s="85" t="s">
        <v>92</v>
      </c>
      <c r="AE28" s="85"/>
      <c r="AF28" s="98" t="str">
        <f t="shared" si="1"/>
        <v/>
      </c>
      <c r="AG28" s="98" t="str">
        <f t="shared" si="2"/>
        <v/>
      </c>
      <c r="AH28" s="15" t="str">
        <f>IF((uitslag!I28=""),"",(uitslag!I28))</f>
        <v/>
      </c>
      <c r="AI28" s="16" t="str">
        <f>IF((uitslag!K28=""),"",(uitslag!K28))</f>
        <v/>
      </c>
      <c r="AK28" s="90">
        <f t="shared" si="11"/>
        <v>0</v>
      </c>
      <c r="AL28" s="90">
        <f t="shared" si="3"/>
        <v>0</v>
      </c>
      <c r="AM28" s="90">
        <f t="shared" si="4"/>
        <v>0</v>
      </c>
      <c r="AN28" s="90">
        <f t="shared" si="12"/>
        <v>0</v>
      </c>
      <c r="AO28" s="90">
        <f t="shared" si="5"/>
        <v>0</v>
      </c>
      <c r="AP28" s="90">
        <f t="shared" si="6"/>
        <v>0</v>
      </c>
      <c r="AQ28" s="90">
        <f t="shared" si="7"/>
        <v>5</v>
      </c>
      <c r="AS28" s="99" t="str">
        <f>AC28</f>
        <v>Tsjechië</v>
      </c>
      <c r="AT28" s="100">
        <f>IF(uitslag!U28="",0,IF(U28=uitslag!U28,10,0))</f>
        <v>0</v>
      </c>
    </row>
    <row r="29" spans="1:46" x14ac:dyDescent="0.2">
      <c r="A29" s="1">
        <v>23</v>
      </c>
      <c r="B29" s="2">
        <v>44366.75</v>
      </c>
      <c r="C29" s="8" t="s">
        <v>32</v>
      </c>
      <c r="D29" s="8"/>
      <c r="E29" s="1" t="s">
        <v>35</v>
      </c>
      <c r="F29" s="2" t="s">
        <v>34</v>
      </c>
      <c r="G29" s="13" t="s">
        <v>52</v>
      </c>
      <c r="H29" s="1" t="s">
        <v>37</v>
      </c>
      <c r="I29" s="91"/>
      <c r="J29" s="92" t="s">
        <v>52</v>
      </c>
      <c r="K29" s="93"/>
      <c r="L29" s="94" t="str">
        <f t="shared" si="8"/>
        <v/>
      </c>
      <c r="X29" s="83">
        <f t="shared" si="10"/>
        <v>0</v>
      </c>
      <c r="AF29" s="98" t="str">
        <f t="shared" si="1"/>
        <v/>
      </c>
      <c r="AG29" s="98" t="str">
        <f t="shared" si="2"/>
        <v/>
      </c>
      <c r="AH29" s="15" t="str">
        <f>IF((uitslag!I29=""),"",(uitslag!I29))</f>
        <v/>
      </c>
      <c r="AI29" s="16" t="str">
        <f>IF((uitslag!K29=""),"",(uitslag!K29))</f>
        <v/>
      </c>
      <c r="AK29" s="90">
        <f t="shared" si="11"/>
        <v>0</v>
      </c>
      <c r="AL29" s="90">
        <f t="shared" si="3"/>
        <v>0</v>
      </c>
      <c r="AM29" s="90">
        <f t="shared" si="4"/>
        <v>0</v>
      </c>
      <c r="AN29" s="90">
        <f t="shared" si="12"/>
        <v>0</v>
      </c>
      <c r="AO29" s="90">
        <f t="shared" si="5"/>
        <v>0</v>
      </c>
      <c r="AP29" s="90">
        <f t="shared" si="6"/>
        <v>0</v>
      </c>
      <c r="AQ29" s="90">
        <f t="shared" si="7"/>
        <v>5</v>
      </c>
    </row>
    <row r="30" spans="1:46" ht="15.75" thickBot="1" x14ac:dyDescent="0.25">
      <c r="A30" s="1">
        <v>24</v>
      </c>
      <c r="B30" s="2">
        <v>44366.875</v>
      </c>
      <c r="C30" s="7" t="s">
        <v>26</v>
      </c>
      <c r="D30" s="7"/>
      <c r="E30" s="1" t="s">
        <v>29</v>
      </c>
      <c r="F30" s="2" t="s">
        <v>30</v>
      </c>
      <c r="G30" s="13" t="s">
        <v>52</v>
      </c>
      <c r="H30" s="1" t="s">
        <v>28</v>
      </c>
      <c r="I30" s="91"/>
      <c r="J30" s="92" t="s">
        <v>52</v>
      </c>
      <c r="K30" s="93"/>
      <c r="L30" s="94" t="str">
        <f t="shared" si="8"/>
        <v/>
      </c>
      <c r="P30" s="7" t="s">
        <v>69</v>
      </c>
      <c r="Q30" s="7" t="s">
        <v>56</v>
      </c>
      <c r="R30" s="7" t="s">
        <v>57</v>
      </c>
      <c r="S30" s="7" t="s">
        <v>58</v>
      </c>
      <c r="T30" s="7" t="s">
        <v>59</v>
      </c>
      <c r="U30" s="7" t="s">
        <v>60</v>
      </c>
      <c r="X30" s="83">
        <f t="shared" si="10"/>
        <v>0</v>
      </c>
      <c r="AF30" s="98" t="str">
        <f t="shared" si="1"/>
        <v/>
      </c>
      <c r="AG30" s="98" t="str">
        <f t="shared" si="2"/>
        <v/>
      </c>
      <c r="AH30" s="15" t="str">
        <f>IF((uitslag!I30=""),"",(uitslag!I30))</f>
        <v/>
      </c>
      <c r="AI30" s="16" t="str">
        <f>IF((uitslag!K30=""),"",(uitslag!K30))</f>
        <v/>
      </c>
      <c r="AK30" s="90">
        <f t="shared" si="11"/>
        <v>0</v>
      </c>
      <c r="AL30" s="90">
        <f t="shared" si="3"/>
        <v>0</v>
      </c>
      <c r="AM30" s="90">
        <f t="shared" si="4"/>
        <v>0</v>
      </c>
      <c r="AN30" s="90">
        <f t="shared" si="12"/>
        <v>0</v>
      </c>
      <c r="AO30" s="90">
        <f t="shared" si="5"/>
        <v>0</v>
      </c>
      <c r="AP30" s="90">
        <f t="shared" si="6"/>
        <v>0</v>
      </c>
      <c r="AQ30" s="90">
        <f t="shared" si="7"/>
        <v>5</v>
      </c>
      <c r="AS30" s="7" t="s">
        <v>69</v>
      </c>
      <c r="AT30" s="7" t="s">
        <v>60</v>
      </c>
    </row>
    <row r="31" spans="1:46" ht="15.75" thickBot="1" x14ac:dyDescent="0.25">
      <c r="A31" s="1">
        <v>25</v>
      </c>
      <c r="B31" s="2">
        <v>44367.75</v>
      </c>
      <c r="C31" s="3" t="s">
        <v>0</v>
      </c>
      <c r="D31" s="3"/>
      <c r="E31" s="1" t="s">
        <v>4</v>
      </c>
      <c r="F31" s="2" t="s">
        <v>6</v>
      </c>
      <c r="G31" s="13" t="s">
        <v>52</v>
      </c>
      <c r="H31" s="1" t="s">
        <v>2</v>
      </c>
      <c r="I31" s="91"/>
      <c r="J31" s="92" t="s">
        <v>52</v>
      </c>
      <c r="K31" s="93"/>
      <c r="L31" s="94" t="str">
        <f t="shared" si="8"/>
        <v/>
      </c>
      <c r="P31" s="95" t="s">
        <v>28</v>
      </c>
      <c r="Q31" s="96">
        <f ca="1">SUMIF($F$7:$F$42,$P31,$I$7:$I$41)+SUMIF($H$7:$H$41,$P31,$K$7:$K$41)</f>
        <v>0</v>
      </c>
      <c r="R31" s="96">
        <f>SUMIF($F$7:$F$54,$P31,$K$7:$K$54)+SUMIF($H$7:$H$54,$P31,$I$7:$I$54)</f>
        <v>0</v>
      </c>
      <c r="S31" s="96">
        <f ca="1">Q31-R31</f>
        <v>0</v>
      </c>
      <c r="T31" s="96">
        <f t="shared" ref="T31:T34" si="16">SUMIF($F$7:$F$42,$P31,$AF$7:$AF$42)+SUMIF($H$7:$H$42,$P31,$AG$7:$AG$42)</f>
        <v>0</v>
      </c>
      <c r="U31" s="97"/>
      <c r="X31" s="83">
        <f t="shared" si="10"/>
        <v>0</v>
      </c>
      <c r="Y31" s="84">
        <f>AT31</f>
        <v>0</v>
      </c>
      <c r="AC31" s="85" t="str">
        <f>P31</f>
        <v>Polen</v>
      </c>
      <c r="AD31" s="85" t="s">
        <v>93</v>
      </c>
      <c r="AE31" s="85"/>
      <c r="AF31" s="98" t="str">
        <f t="shared" si="1"/>
        <v/>
      </c>
      <c r="AG31" s="98" t="str">
        <f t="shared" si="2"/>
        <v/>
      </c>
      <c r="AH31" s="15" t="str">
        <f>IF((uitslag!I31=""),"",(uitslag!I31))</f>
        <v/>
      </c>
      <c r="AI31" s="16" t="str">
        <f>IF((uitslag!K31=""),"",(uitslag!K31))</f>
        <v/>
      </c>
      <c r="AK31" s="90">
        <f t="shared" si="11"/>
        <v>0</v>
      </c>
      <c r="AL31" s="90">
        <f t="shared" si="3"/>
        <v>0</v>
      </c>
      <c r="AM31" s="90">
        <f t="shared" si="4"/>
        <v>0</v>
      </c>
      <c r="AN31" s="90">
        <f t="shared" si="12"/>
        <v>0</v>
      </c>
      <c r="AO31" s="90">
        <f t="shared" si="5"/>
        <v>0</v>
      </c>
      <c r="AP31" s="90">
        <f t="shared" si="6"/>
        <v>0</v>
      </c>
      <c r="AQ31" s="90">
        <f t="shared" si="7"/>
        <v>5</v>
      </c>
      <c r="AS31" s="99" t="str">
        <f>AC31</f>
        <v>Polen</v>
      </c>
      <c r="AT31" s="100">
        <f>IF(uitslag!U31="",0,IF(U31=uitslag!U31,10,0))</f>
        <v>0</v>
      </c>
    </row>
    <row r="32" spans="1:46" ht="15.75" thickBot="1" x14ac:dyDescent="0.25">
      <c r="A32" s="1">
        <v>26</v>
      </c>
      <c r="B32" s="2">
        <v>44367.75</v>
      </c>
      <c r="C32" s="3" t="s">
        <v>0</v>
      </c>
      <c r="D32" s="3"/>
      <c r="E32" s="1" t="s">
        <v>1</v>
      </c>
      <c r="F32" s="2" t="s">
        <v>3</v>
      </c>
      <c r="G32" s="13" t="s">
        <v>52</v>
      </c>
      <c r="H32" s="1" t="s">
        <v>5</v>
      </c>
      <c r="I32" s="91"/>
      <c r="J32" s="92" t="s">
        <v>52</v>
      </c>
      <c r="K32" s="93"/>
      <c r="L32" s="94" t="str">
        <f t="shared" si="8"/>
        <v/>
      </c>
      <c r="P32" s="95" t="s">
        <v>50</v>
      </c>
      <c r="Q32" s="96">
        <f ca="1">SUMIF($F$7:$F$42,$P32,$I$7:$I$41)+SUMIF($H$7:$H$41,$P32,$K$7:$K$41)</f>
        <v>0</v>
      </c>
      <c r="R32" s="96">
        <f>SUMIF($F$7:$F$54,$P32,$K$7:$K$54)+SUMIF($H$7:$H$54,$P32,$I$7:$I$54)</f>
        <v>0</v>
      </c>
      <c r="S32" s="96">
        <f ca="1">Q32-R32</f>
        <v>0</v>
      </c>
      <c r="T32" s="96">
        <f>SUMIF($F$7:$F$42,$P32,$AF$7:$AF$42)+SUMIF($H$7:$H$42,$P32,$AG$7:$AG$42)</f>
        <v>0</v>
      </c>
      <c r="U32" s="97"/>
      <c r="X32" s="83">
        <f t="shared" si="10"/>
        <v>0</v>
      </c>
      <c r="Y32" s="84">
        <f>AT32</f>
        <v>0</v>
      </c>
      <c r="AC32" s="85" t="str">
        <f>P32</f>
        <v>Slowakije</v>
      </c>
      <c r="AD32" s="85" t="s">
        <v>95</v>
      </c>
      <c r="AE32" s="85"/>
      <c r="AF32" s="98" t="str">
        <f t="shared" si="1"/>
        <v/>
      </c>
      <c r="AG32" s="98" t="str">
        <f t="shared" si="2"/>
        <v/>
      </c>
      <c r="AH32" s="15" t="str">
        <f>IF((uitslag!I32=""),"",(uitslag!I32))</f>
        <v/>
      </c>
      <c r="AI32" s="16" t="str">
        <f>IF((uitslag!K32=""),"",(uitslag!K32))</f>
        <v/>
      </c>
      <c r="AK32" s="90">
        <f t="shared" si="11"/>
        <v>0</v>
      </c>
      <c r="AL32" s="90">
        <f t="shared" si="3"/>
        <v>0</v>
      </c>
      <c r="AM32" s="90">
        <f t="shared" si="4"/>
        <v>0</v>
      </c>
      <c r="AN32" s="90">
        <f t="shared" si="12"/>
        <v>0</v>
      </c>
      <c r="AO32" s="90">
        <f t="shared" si="5"/>
        <v>0</v>
      </c>
      <c r="AP32" s="90">
        <f t="shared" si="6"/>
        <v>0</v>
      </c>
      <c r="AQ32" s="90">
        <f t="shared" si="7"/>
        <v>5</v>
      </c>
      <c r="AS32" s="99" t="str">
        <f>AC32</f>
        <v>Slowakije</v>
      </c>
      <c r="AT32" s="100">
        <f>IF(uitslag!U32="",0,IF(U32=uitslag!U32,10,0))</f>
        <v>0</v>
      </c>
    </row>
    <row r="33" spans="1:58" ht="15.75" thickBot="1" x14ac:dyDescent="0.25">
      <c r="A33" s="1">
        <v>27</v>
      </c>
      <c r="B33" s="2">
        <v>44368.75</v>
      </c>
      <c r="C33" s="6" t="s">
        <v>18</v>
      </c>
      <c r="D33" s="6"/>
      <c r="E33" s="1" t="s">
        <v>21</v>
      </c>
      <c r="F33" s="2" t="s">
        <v>48</v>
      </c>
      <c r="G33" s="13" t="s">
        <v>52</v>
      </c>
      <c r="H33" s="1" t="s">
        <v>22</v>
      </c>
      <c r="I33" s="91"/>
      <c r="J33" s="92" t="s">
        <v>52</v>
      </c>
      <c r="K33" s="93"/>
      <c r="L33" s="94" t="str">
        <f t="shared" si="8"/>
        <v/>
      </c>
      <c r="P33" s="95" t="s">
        <v>30</v>
      </c>
      <c r="Q33" s="96">
        <f ca="1">SUMIF($F$7:$F$42,$P33,$I$7:$I$41)+SUMIF($H$7:$H$41,$P33,$K$7:$K$41)</f>
        <v>0</v>
      </c>
      <c r="R33" s="96">
        <f>SUMIF($F$7:$F$54,$P33,$K$7:$K$54)+SUMIF($H$7:$H$54,$P33,$I$7:$I$54)</f>
        <v>0</v>
      </c>
      <c r="S33" s="96">
        <f ca="1">Q33-R33</f>
        <v>0</v>
      </c>
      <c r="T33" s="96">
        <f t="shared" si="16"/>
        <v>0</v>
      </c>
      <c r="U33" s="97"/>
      <c r="X33" s="83">
        <f t="shared" si="10"/>
        <v>0</v>
      </c>
      <c r="Y33" s="84">
        <f>AT33</f>
        <v>0</v>
      </c>
      <c r="AC33" s="85" t="str">
        <f>P33</f>
        <v>Spanje</v>
      </c>
      <c r="AD33" s="85" t="s">
        <v>96</v>
      </c>
      <c r="AE33" s="85"/>
      <c r="AF33" s="98" t="str">
        <f t="shared" si="1"/>
        <v/>
      </c>
      <c r="AG33" s="98" t="str">
        <f t="shared" si="2"/>
        <v/>
      </c>
      <c r="AH33" s="15" t="str">
        <f>IF((uitslag!I33=""),"",(uitslag!I33))</f>
        <v/>
      </c>
      <c r="AI33" s="16" t="str">
        <f>IF((uitslag!K33=""),"",(uitslag!K33))</f>
        <v/>
      </c>
      <c r="AK33" s="90">
        <f t="shared" si="11"/>
        <v>0</v>
      </c>
      <c r="AL33" s="90">
        <f t="shared" si="3"/>
        <v>0</v>
      </c>
      <c r="AM33" s="90">
        <f t="shared" si="4"/>
        <v>0</v>
      </c>
      <c r="AN33" s="90">
        <f t="shared" si="12"/>
        <v>0</v>
      </c>
      <c r="AO33" s="90">
        <f t="shared" si="5"/>
        <v>0</v>
      </c>
      <c r="AP33" s="90">
        <f t="shared" si="6"/>
        <v>0</v>
      </c>
      <c r="AQ33" s="90">
        <f t="shared" si="7"/>
        <v>5</v>
      </c>
      <c r="AS33" s="99" t="str">
        <f>AC33</f>
        <v>Spanje</v>
      </c>
      <c r="AT33" s="100">
        <f>IF(uitslag!U33="",0,IF(U33=uitslag!U33,10,0))</f>
        <v>0</v>
      </c>
    </row>
    <row r="34" spans="1:58" x14ac:dyDescent="0.2">
      <c r="A34" s="1">
        <v>28</v>
      </c>
      <c r="B34" s="2">
        <v>44368.75</v>
      </c>
      <c r="C34" s="6" t="s">
        <v>18</v>
      </c>
      <c r="D34" s="6"/>
      <c r="E34" s="1" t="s">
        <v>19</v>
      </c>
      <c r="F34" s="2" t="s">
        <v>23</v>
      </c>
      <c r="G34" s="13" t="s">
        <v>52</v>
      </c>
      <c r="H34" s="1" t="s">
        <v>20</v>
      </c>
      <c r="I34" s="91"/>
      <c r="J34" s="92" t="s">
        <v>52</v>
      </c>
      <c r="K34" s="93"/>
      <c r="L34" s="94" t="str">
        <f t="shared" si="8"/>
        <v/>
      </c>
      <c r="P34" s="95" t="s">
        <v>31</v>
      </c>
      <c r="Q34" s="96">
        <f ca="1">SUMIF($F$7:$F$42,$P34,$I$7:$I$41)+SUMIF($H$7:$H$41,$P34,$K$7:$K$41)</f>
        <v>0</v>
      </c>
      <c r="R34" s="96">
        <f>SUMIF($F$7:$F$54,$P34,$K$7:$K$54)+SUMIF($H$7:$H$54,$P34,$I$7:$I$54)</f>
        <v>0</v>
      </c>
      <c r="S34" s="96">
        <f ca="1">Q34-R34</f>
        <v>0</v>
      </c>
      <c r="T34" s="96">
        <f t="shared" si="16"/>
        <v>0</v>
      </c>
      <c r="U34" s="97"/>
      <c r="X34" s="83">
        <f t="shared" si="10"/>
        <v>0</v>
      </c>
      <c r="Y34" s="84">
        <f>AT34</f>
        <v>0</v>
      </c>
      <c r="AC34" s="85" t="str">
        <f>P34</f>
        <v>Zweden</v>
      </c>
      <c r="AD34" s="85" t="s">
        <v>97</v>
      </c>
      <c r="AE34" s="85"/>
      <c r="AF34" s="98" t="str">
        <f t="shared" si="1"/>
        <v/>
      </c>
      <c r="AG34" s="98" t="str">
        <f t="shared" si="2"/>
        <v/>
      </c>
      <c r="AH34" s="15" t="str">
        <f>IF((uitslag!I34=""),"",(uitslag!I34))</f>
        <v/>
      </c>
      <c r="AI34" s="16" t="str">
        <f>IF((uitslag!K34=""),"",(uitslag!K34))</f>
        <v/>
      </c>
      <c r="AK34" s="90">
        <f t="shared" si="11"/>
        <v>0</v>
      </c>
      <c r="AL34" s="90">
        <f t="shared" si="3"/>
        <v>0</v>
      </c>
      <c r="AM34" s="90">
        <f t="shared" si="4"/>
        <v>0</v>
      </c>
      <c r="AN34" s="90">
        <f t="shared" si="12"/>
        <v>0</v>
      </c>
      <c r="AO34" s="90">
        <f t="shared" si="5"/>
        <v>0</v>
      </c>
      <c r="AP34" s="90">
        <f t="shared" si="6"/>
        <v>0</v>
      </c>
      <c r="AQ34" s="90">
        <f t="shared" si="7"/>
        <v>5</v>
      </c>
      <c r="AS34" s="99" t="str">
        <f>AC34</f>
        <v>Zweden</v>
      </c>
      <c r="AT34" s="100">
        <f>IF(uitslag!U34="",0,IF(U34=uitslag!U34,10,0))</f>
        <v>0</v>
      </c>
    </row>
    <row r="35" spans="1:58" x14ac:dyDescent="0.2">
      <c r="A35" s="1">
        <v>29</v>
      </c>
      <c r="B35" s="2">
        <v>44368.875</v>
      </c>
      <c r="C35" s="4" t="s">
        <v>7</v>
      </c>
      <c r="D35" s="4"/>
      <c r="E35" s="1" t="s">
        <v>8</v>
      </c>
      <c r="F35" s="2" t="s">
        <v>13</v>
      </c>
      <c r="G35" s="13" t="s">
        <v>52</v>
      </c>
      <c r="H35" s="1" t="s">
        <v>9</v>
      </c>
      <c r="I35" s="91"/>
      <c r="J35" s="92" t="s">
        <v>52</v>
      </c>
      <c r="K35" s="93"/>
      <c r="L35" s="94" t="str">
        <f t="shared" si="8"/>
        <v/>
      </c>
      <c r="X35" s="83">
        <f t="shared" si="10"/>
        <v>0</v>
      </c>
      <c r="AF35" s="98" t="str">
        <f t="shared" si="1"/>
        <v/>
      </c>
      <c r="AG35" s="98" t="str">
        <f t="shared" si="2"/>
        <v/>
      </c>
      <c r="AH35" s="15" t="str">
        <f>IF((uitslag!I35=""),"",(uitslag!I35))</f>
        <v/>
      </c>
      <c r="AI35" s="16" t="str">
        <f>IF((uitslag!K35=""),"",(uitslag!K35))</f>
        <v/>
      </c>
      <c r="AK35" s="90">
        <f t="shared" si="11"/>
        <v>0</v>
      </c>
      <c r="AL35" s="90">
        <f t="shared" si="3"/>
        <v>0</v>
      </c>
      <c r="AM35" s="90">
        <f t="shared" si="4"/>
        <v>0</v>
      </c>
      <c r="AN35" s="90">
        <f t="shared" si="12"/>
        <v>0</v>
      </c>
      <c r="AO35" s="90">
        <f t="shared" si="5"/>
        <v>0</v>
      </c>
      <c r="AP35" s="90">
        <f t="shared" si="6"/>
        <v>0</v>
      </c>
      <c r="AQ35" s="90">
        <f t="shared" si="7"/>
        <v>5</v>
      </c>
    </row>
    <row r="36" spans="1:58" ht="15.75" thickBot="1" x14ac:dyDescent="0.25">
      <c r="A36" s="1">
        <v>30</v>
      </c>
      <c r="B36" s="2">
        <v>44368.875</v>
      </c>
      <c r="C36" s="4" t="s">
        <v>7</v>
      </c>
      <c r="D36" s="4"/>
      <c r="E36" s="1" t="s">
        <v>11</v>
      </c>
      <c r="F36" s="2" t="s">
        <v>10</v>
      </c>
      <c r="G36" s="13" t="s">
        <v>52</v>
      </c>
      <c r="H36" s="1" t="s">
        <v>12</v>
      </c>
      <c r="I36" s="91"/>
      <c r="J36" s="92" t="s">
        <v>52</v>
      </c>
      <c r="K36" s="93"/>
      <c r="L36" s="94" t="str">
        <f t="shared" si="8"/>
        <v/>
      </c>
      <c r="P36" s="8" t="s">
        <v>70</v>
      </c>
      <c r="Q36" s="8" t="s">
        <v>56</v>
      </c>
      <c r="R36" s="8" t="s">
        <v>57</v>
      </c>
      <c r="S36" s="8" t="s">
        <v>58</v>
      </c>
      <c r="T36" s="8" t="s">
        <v>59</v>
      </c>
      <c r="U36" s="8" t="s">
        <v>60</v>
      </c>
      <c r="X36" s="83">
        <f t="shared" si="10"/>
        <v>0</v>
      </c>
      <c r="AF36" s="98" t="str">
        <f t="shared" si="1"/>
        <v/>
      </c>
      <c r="AG36" s="98" t="str">
        <f t="shared" si="2"/>
        <v/>
      </c>
      <c r="AH36" s="15" t="str">
        <f>IF((uitslag!I36=""),"",(uitslag!I36))</f>
        <v/>
      </c>
      <c r="AI36" s="16" t="str">
        <f>IF((uitslag!K36=""),"",(uitslag!K36))</f>
        <v/>
      </c>
      <c r="AK36" s="90">
        <f t="shared" si="11"/>
        <v>0</v>
      </c>
      <c r="AL36" s="90">
        <f t="shared" si="3"/>
        <v>0</v>
      </c>
      <c r="AM36" s="90">
        <f t="shared" si="4"/>
        <v>0</v>
      </c>
      <c r="AN36" s="90">
        <f t="shared" si="12"/>
        <v>0</v>
      </c>
      <c r="AO36" s="90">
        <f t="shared" si="5"/>
        <v>0</v>
      </c>
      <c r="AP36" s="90">
        <f t="shared" si="6"/>
        <v>0</v>
      </c>
      <c r="AQ36" s="90">
        <f t="shared" si="7"/>
        <v>5</v>
      </c>
      <c r="AS36" s="8" t="s">
        <v>70</v>
      </c>
      <c r="AT36" s="8" t="s">
        <v>60</v>
      </c>
    </row>
    <row r="37" spans="1:58" ht="15.75" thickBot="1" x14ac:dyDescent="0.25">
      <c r="A37" s="1">
        <v>31</v>
      </c>
      <c r="B37" s="2">
        <v>44369.875</v>
      </c>
      <c r="C37" s="5" t="s">
        <v>14</v>
      </c>
      <c r="D37" s="5"/>
      <c r="E37" s="1" t="s">
        <v>24</v>
      </c>
      <c r="F37" s="2" t="s">
        <v>17</v>
      </c>
      <c r="G37" s="13" t="s">
        <v>52</v>
      </c>
      <c r="H37" s="1" t="s">
        <v>49</v>
      </c>
      <c r="I37" s="91"/>
      <c r="J37" s="92" t="s">
        <v>52</v>
      </c>
      <c r="K37" s="93"/>
      <c r="L37" s="94" t="str">
        <f t="shared" si="8"/>
        <v/>
      </c>
      <c r="P37" s="95" t="s">
        <v>51</v>
      </c>
      <c r="Q37" s="96">
        <f ca="1">SUMIF($F$7:$F$42,$P37,$I$7:$I$41)+SUMIF($H$7:$H$41,$P37,$K$7:$K$41)</f>
        <v>0</v>
      </c>
      <c r="R37" s="96">
        <f>SUMIF($F$7:$F$54,$P37,$K$7:$K$54)+SUMIF($H$7:$H$54,$P37,$I$7:$I$54)</f>
        <v>0</v>
      </c>
      <c r="S37" s="96">
        <f ca="1">Q37-R37</f>
        <v>0</v>
      </c>
      <c r="T37" s="96">
        <f>SUMIF($F$7:$F$42,$P37,$AF$7:$AF$42)+SUMIF($H$7:$H$42,$P37,$AG$7:$AG$42)</f>
        <v>0</v>
      </c>
      <c r="U37" s="97"/>
      <c r="X37" s="83">
        <f t="shared" si="10"/>
        <v>0</v>
      </c>
      <c r="Y37" s="84">
        <f>AT37</f>
        <v>0</v>
      </c>
      <c r="AC37" s="85" t="str">
        <f>P37</f>
        <v>Hongarije</v>
      </c>
      <c r="AD37" s="85" t="s">
        <v>94</v>
      </c>
      <c r="AE37" s="85"/>
      <c r="AF37" s="98" t="str">
        <f t="shared" si="1"/>
        <v/>
      </c>
      <c r="AG37" s="98" t="str">
        <f t="shared" si="2"/>
        <v/>
      </c>
      <c r="AH37" s="15" t="str">
        <f>IF((uitslag!I37=""),"",(uitslag!I37))</f>
        <v/>
      </c>
      <c r="AI37" s="16" t="str">
        <f>IF((uitslag!K37=""),"",(uitslag!K37))</f>
        <v/>
      </c>
      <c r="AK37" s="90">
        <f t="shared" si="11"/>
        <v>0</v>
      </c>
      <c r="AL37" s="90">
        <f t="shared" si="3"/>
        <v>0</v>
      </c>
      <c r="AM37" s="90">
        <f t="shared" si="4"/>
        <v>0</v>
      </c>
      <c r="AN37" s="90">
        <f t="shared" si="12"/>
        <v>0</v>
      </c>
      <c r="AO37" s="90">
        <f t="shared" si="5"/>
        <v>0</v>
      </c>
      <c r="AP37" s="90">
        <f t="shared" si="6"/>
        <v>0</v>
      </c>
      <c r="AQ37" s="90">
        <f t="shared" si="7"/>
        <v>5</v>
      </c>
      <c r="AS37" s="99" t="str">
        <f>AC37</f>
        <v>Hongarije</v>
      </c>
      <c r="AT37" s="100">
        <f>IF(uitslag!U37="",0,IF(U37=uitslag!U37,10,0))</f>
        <v>0</v>
      </c>
    </row>
    <row r="38" spans="1:58" ht="15.75" thickBot="1" x14ac:dyDescent="0.25">
      <c r="A38" s="1">
        <v>32</v>
      </c>
      <c r="B38" s="2">
        <v>44369.875</v>
      </c>
      <c r="C38" s="5" t="s">
        <v>14</v>
      </c>
      <c r="D38" s="5"/>
      <c r="E38" s="1" t="s">
        <v>15</v>
      </c>
      <c r="F38" s="2" t="s">
        <v>25</v>
      </c>
      <c r="G38" s="13" t="s">
        <v>52</v>
      </c>
      <c r="H38" s="1" t="s">
        <v>16</v>
      </c>
      <c r="I38" s="91"/>
      <c r="J38" s="92" t="s">
        <v>52</v>
      </c>
      <c r="K38" s="93"/>
      <c r="L38" s="94" t="str">
        <f t="shared" si="8"/>
        <v/>
      </c>
      <c r="P38" s="95" t="s">
        <v>34</v>
      </c>
      <c r="Q38" s="96">
        <f ca="1">SUMIF($F$7:$F$42,$P38,$I$7:$I$41)+SUMIF($H$7:$H$41,$P38,$K$7:$K$41)</f>
        <v>0</v>
      </c>
      <c r="R38" s="96">
        <f>SUMIF($F$7:$F$54,$P38,$K$7:$K$54)+SUMIF($H$7:$H$54,$P38,$I$7:$I$54)</f>
        <v>0</v>
      </c>
      <c r="S38" s="96">
        <f ca="1">Q38-R38</f>
        <v>0</v>
      </c>
      <c r="T38" s="96">
        <f>SUMIF($F$7:$F$42,$P38,$AF$7:$AF$42)+SUMIF($H$7:$H$42,$P38,$AG$7:$AG$42)</f>
        <v>0</v>
      </c>
      <c r="U38" s="97"/>
      <c r="X38" s="83">
        <f t="shared" si="10"/>
        <v>0</v>
      </c>
      <c r="Y38" s="84">
        <f>AT38</f>
        <v>0</v>
      </c>
      <c r="AC38" s="85" t="str">
        <f>P38</f>
        <v>Portugal</v>
      </c>
      <c r="AD38" s="85" t="s">
        <v>98</v>
      </c>
      <c r="AE38" s="85"/>
      <c r="AF38" s="98" t="str">
        <f t="shared" si="1"/>
        <v/>
      </c>
      <c r="AG38" s="98" t="str">
        <f t="shared" si="2"/>
        <v/>
      </c>
      <c r="AH38" s="15" t="str">
        <f>IF((uitslag!I38=""),"",(uitslag!I38))</f>
        <v/>
      </c>
      <c r="AI38" s="16" t="str">
        <f>IF((uitslag!K38=""),"",(uitslag!K38))</f>
        <v/>
      </c>
      <c r="AK38" s="90">
        <f t="shared" si="11"/>
        <v>0</v>
      </c>
      <c r="AL38" s="90">
        <f t="shared" si="3"/>
        <v>0</v>
      </c>
      <c r="AM38" s="90">
        <f t="shared" si="4"/>
        <v>0</v>
      </c>
      <c r="AN38" s="90">
        <f t="shared" si="12"/>
        <v>0</v>
      </c>
      <c r="AO38" s="90">
        <f t="shared" si="5"/>
        <v>0</v>
      </c>
      <c r="AP38" s="90">
        <f t="shared" si="6"/>
        <v>0</v>
      </c>
      <c r="AQ38" s="90">
        <f t="shared" si="7"/>
        <v>5</v>
      </c>
      <c r="AS38" s="99" t="str">
        <f>AC38</f>
        <v>Portugal</v>
      </c>
      <c r="AT38" s="100">
        <f>IF(uitslag!U38="",0,IF(U38=uitslag!U38,10,0))</f>
        <v>0</v>
      </c>
    </row>
    <row r="39" spans="1:58" ht="15.75" thickBot="1" x14ac:dyDescent="0.25">
      <c r="A39" s="1">
        <v>33</v>
      </c>
      <c r="B39" s="2">
        <v>44370.75</v>
      </c>
      <c r="C39" s="7" t="s">
        <v>26</v>
      </c>
      <c r="D39" s="7"/>
      <c r="E39" s="1" t="s">
        <v>29</v>
      </c>
      <c r="F39" s="2" t="s">
        <v>50</v>
      </c>
      <c r="G39" s="13" t="s">
        <v>52</v>
      </c>
      <c r="H39" s="1" t="s">
        <v>30</v>
      </c>
      <c r="I39" s="91"/>
      <c r="J39" s="92" t="s">
        <v>52</v>
      </c>
      <c r="K39" s="93"/>
      <c r="L39" s="94" t="str">
        <f t="shared" si="8"/>
        <v/>
      </c>
      <c r="P39" s="95" t="s">
        <v>36</v>
      </c>
      <c r="Q39" s="96">
        <f ca="1">SUMIF($F$7:$F$42,$P39,$I$7:$I$41)+SUMIF($H$7:$H$41,$P39,$K$7:$K$41)</f>
        <v>0</v>
      </c>
      <c r="R39" s="96">
        <f>SUMIF($F$7:$F$54,$P39,$K$7:$K$54)+SUMIF($H$7:$H$54,$P39,$I$7:$I$54)</f>
        <v>0</v>
      </c>
      <c r="S39" s="96">
        <f ca="1">Q39-R39</f>
        <v>0</v>
      </c>
      <c r="T39" s="96">
        <f t="shared" ref="T39:T40" si="17">SUMIF($F$7:$F$42,$P39,$AF$7:$AF$42)+SUMIF($H$7:$H$42,$P39,$AG$7:$AG$42)</f>
        <v>0</v>
      </c>
      <c r="U39" s="97"/>
      <c r="X39" s="83">
        <f t="shared" si="10"/>
        <v>0</v>
      </c>
      <c r="Y39" s="84">
        <f>AT39</f>
        <v>0</v>
      </c>
      <c r="AC39" s="85" t="str">
        <f>P39</f>
        <v>Frankrijk</v>
      </c>
      <c r="AD39" s="85" t="s">
        <v>99</v>
      </c>
      <c r="AE39" s="85"/>
      <c r="AF39" s="98" t="str">
        <f t="shared" ref="AF39:AF57" si="18">IF(K39="","",IF($I39&gt;$K39,3,IF($I39=$K39,1,0)))</f>
        <v/>
      </c>
      <c r="AG39" s="98" t="str">
        <f t="shared" ref="AG39:AG57" si="19">IF(K39="","",IF($I39&lt;$K39,3,IF($I39=$K39,1,0)))</f>
        <v/>
      </c>
      <c r="AH39" s="15" t="str">
        <f>IF((uitslag!I39=""),"",(uitslag!I39))</f>
        <v/>
      </c>
      <c r="AI39" s="16" t="str">
        <f>IF((uitslag!K39=""),"",(uitslag!K39))</f>
        <v/>
      </c>
      <c r="AK39" s="90">
        <f t="shared" si="11"/>
        <v>0</v>
      </c>
      <c r="AL39" s="90">
        <f t="shared" ref="AL39:AL57" si="20">IF(AH39="",0,(IF(I39=AH39,1,0)))</f>
        <v>0</v>
      </c>
      <c r="AM39" s="90">
        <f t="shared" ref="AM39:AM57" si="21">IF(AI39="",0,(IF(K39=AI39,1,0)))</f>
        <v>0</v>
      </c>
      <c r="AN39" s="90">
        <f t="shared" si="12"/>
        <v>0</v>
      </c>
      <c r="AO39" s="90">
        <f t="shared" ref="AO39:AO57" si="22">IF(AND(I39&gt;K39,AH39&gt;AI39),5,0)</f>
        <v>0</v>
      </c>
      <c r="AP39" s="90">
        <f t="shared" ref="AP39:AP57" si="23">IF(AND(I39&lt;K39,AH39&lt;AI39),5,0)</f>
        <v>0</v>
      </c>
      <c r="AQ39" s="90">
        <f t="shared" ref="AQ39:AQ57" si="24">IF(AND(I39=K39,AH39=AI39),5,0)</f>
        <v>5</v>
      </c>
      <c r="AS39" s="99" t="str">
        <f>AC39</f>
        <v>Frankrijk</v>
      </c>
      <c r="AT39" s="100">
        <f>IF(uitslag!U39="",0,IF(U39=uitslag!U39,10,0))</f>
        <v>0</v>
      </c>
    </row>
    <row r="40" spans="1:58" x14ac:dyDescent="0.2">
      <c r="A40" s="1">
        <v>34</v>
      </c>
      <c r="B40" s="2">
        <v>44370.75</v>
      </c>
      <c r="C40" s="7" t="s">
        <v>26</v>
      </c>
      <c r="D40" s="7"/>
      <c r="E40" s="1" t="s">
        <v>27</v>
      </c>
      <c r="F40" s="2" t="s">
        <v>31</v>
      </c>
      <c r="G40" s="13" t="s">
        <v>52</v>
      </c>
      <c r="H40" s="1" t="s">
        <v>28</v>
      </c>
      <c r="I40" s="91"/>
      <c r="J40" s="92" t="s">
        <v>52</v>
      </c>
      <c r="K40" s="93"/>
      <c r="L40" s="94" t="str">
        <f t="shared" si="8"/>
        <v/>
      </c>
      <c r="P40" s="95" t="s">
        <v>37</v>
      </c>
      <c r="Q40" s="96">
        <f ca="1">SUMIF($F$7:$F$42,$P40,$I$7:$I$41)+SUMIF($H$7:$H$41,$P40,$K$7:$K$41)</f>
        <v>0</v>
      </c>
      <c r="R40" s="96">
        <f>SUMIF($F$7:$F$54,$P40,$K$7:$K$54)+SUMIF($H$7:$H$54,$P40,$I$7:$I$54)</f>
        <v>0</v>
      </c>
      <c r="S40" s="96">
        <f ca="1">Q40-R40</f>
        <v>0</v>
      </c>
      <c r="T40" s="96">
        <f t="shared" si="17"/>
        <v>0</v>
      </c>
      <c r="U40" s="97"/>
      <c r="X40" s="83">
        <f t="shared" si="10"/>
        <v>0</v>
      </c>
      <c r="Y40" s="84">
        <f>AT40</f>
        <v>0</v>
      </c>
      <c r="AC40" s="85" t="str">
        <f>P40</f>
        <v>Duitsland</v>
      </c>
      <c r="AD40" s="85" t="s">
        <v>100</v>
      </c>
      <c r="AE40" s="85"/>
      <c r="AF40" s="98" t="str">
        <f t="shared" si="18"/>
        <v/>
      </c>
      <c r="AG40" s="98" t="str">
        <f t="shared" si="19"/>
        <v/>
      </c>
      <c r="AH40" s="15" t="str">
        <f>IF((uitslag!I40=""),"",(uitslag!I40))</f>
        <v/>
      </c>
      <c r="AI40" s="16" t="str">
        <f>IF((uitslag!K40=""),"",(uitslag!K40))</f>
        <v/>
      </c>
      <c r="AK40" s="90">
        <f t="shared" si="11"/>
        <v>0</v>
      </c>
      <c r="AL40" s="90">
        <f t="shared" si="20"/>
        <v>0</v>
      </c>
      <c r="AM40" s="90">
        <f t="shared" si="21"/>
        <v>0</v>
      </c>
      <c r="AN40" s="90">
        <f t="shared" si="12"/>
        <v>0</v>
      </c>
      <c r="AO40" s="90">
        <f t="shared" si="22"/>
        <v>0</v>
      </c>
      <c r="AP40" s="90">
        <f t="shared" si="23"/>
        <v>0</v>
      </c>
      <c r="AQ40" s="90">
        <f t="shared" si="24"/>
        <v>5</v>
      </c>
      <c r="AS40" s="99" t="str">
        <f>AC40</f>
        <v>Duitsland</v>
      </c>
      <c r="AT40" s="100">
        <f>IF(uitslag!U40="",0,IF(U40=uitslag!U40,10,0))</f>
        <v>0</v>
      </c>
    </row>
    <row r="41" spans="1:58" ht="15.75" x14ac:dyDescent="0.25">
      <c r="A41" s="1">
        <v>35</v>
      </c>
      <c r="B41" s="2">
        <v>44370.875</v>
      </c>
      <c r="C41" s="8" t="s">
        <v>32</v>
      </c>
      <c r="D41" s="8"/>
      <c r="E41" s="1" t="s">
        <v>33</v>
      </c>
      <c r="F41" s="2" t="s">
        <v>34</v>
      </c>
      <c r="G41" s="13" t="s">
        <v>52</v>
      </c>
      <c r="H41" s="1" t="s">
        <v>36</v>
      </c>
      <c r="I41" s="91"/>
      <c r="J41" s="92" t="s">
        <v>52</v>
      </c>
      <c r="K41" s="93"/>
      <c r="L41" s="94" t="str">
        <f t="shared" si="8"/>
        <v/>
      </c>
      <c r="X41" s="83">
        <f t="shared" si="10"/>
        <v>0</v>
      </c>
      <c r="AA41" s="101" t="s">
        <v>114</v>
      </c>
      <c r="AF41" s="98" t="str">
        <f t="shared" si="18"/>
        <v/>
      </c>
      <c r="AG41" s="98" t="str">
        <f t="shared" si="19"/>
        <v/>
      </c>
      <c r="AH41" s="15" t="str">
        <f>IF((uitslag!I41=""),"",(uitslag!I41))</f>
        <v/>
      </c>
      <c r="AI41" s="16" t="str">
        <f>IF((uitslag!K41=""),"",(uitslag!K41))</f>
        <v/>
      </c>
      <c r="AK41" s="90">
        <f t="shared" si="11"/>
        <v>0</v>
      </c>
      <c r="AL41" s="90">
        <f t="shared" si="20"/>
        <v>0</v>
      </c>
      <c r="AM41" s="90">
        <f t="shared" si="21"/>
        <v>0</v>
      </c>
      <c r="AN41" s="90">
        <f t="shared" si="12"/>
        <v>0</v>
      </c>
      <c r="AO41" s="90">
        <f t="shared" si="22"/>
        <v>0</v>
      </c>
      <c r="AP41" s="90">
        <f t="shared" si="23"/>
        <v>0</v>
      </c>
      <c r="AQ41" s="90">
        <f t="shared" si="24"/>
        <v>5</v>
      </c>
    </row>
    <row r="42" spans="1:58" ht="15.75" x14ac:dyDescent="0.25">
      <c r="A42" s="1">
        <v>36</v>
      </c>
      <c r="B42" s="2">
        <v>44370.875</v>
      </c>
      <c r="C42" s="8" t="s">
        <v>32</v>
      </c>
      <c r="D42" s="8"/>
      <c r="E42" s="1" t="s">
        <v>35</v>
      </c>
      <c r="F42" s="2" t="s">
        <v>37</v>
      </c>
      <c r="G42" s="13" t="s">
        <v>52</v>
      </c>
      <c r="H42" s="1" t="s">
        <v>51</v>
      </c>
      <c r="I42" s="91"/>
      <c r="J42" s="92" t="s">
        <v>52</v>
      </c>
      <c r="K42" s="93"/>
      <c r="L42" s="94" t="str">
        <f t="shared" si="8"/>
        <v/>
      </c>
      <c r="P42" s="151" t="s">
        <v>215</v>
      </c>
      <c r="Q42" s="152"/>
      <c r="R42" s="152"/>
      <c r="S42" s="152"/>
      <c r="T42" s="152"/>
      <c r="U42" s="152"/>
      <c r="X42" s="83">
        <f t="shared" si="10"/>
        <v>0</v>
      </c>
      <c r="AA42" s="78"/>
      <c r="AF42" s="98" t="str">
        <f t="shared" si="18"/>
        <v/>
      </c>
      <c r="AG42" s="98" t="str">
        <f t="shared" si="19"/>
        <v/>
      </c>
      <c r="AH42" s="15" t="str">
        <f>IF((uitslag!I42=""),"",(uitslag!I42))</f>
        <v/>
      </c>
      <c r="AI42" s="16" t="str">
        <f>IF((uitslag!K42=""),"",(uitslag!K42))</f>
        <v/>
      </c>
      <c r="AK42" s="90">
        <f t="shared" si="11"/>
        <v>0</v>
      </c>
      <c r="AL42" s="90">
        <f t="shared" si="20"/>
        <v>0</v>
      </c>
      <c r="AM42" s="90">
        <f t="shared" si="21"/>
        <v>0</v>
      </c>
      <c r="AN42" s="90">
        <f t="shared" si="12"/>
        <v>0</v>
      </c>
      <c r="AO42" s="90">
        <f t="shared" si="22"/>
        <v>0</v>
      </c>
      <c r="AP42" s="90">
        <f t="shared" si="23"/>
        <v>0</v>
      </c>
      <c r="AQ42" s="90">
        <f t="shared" si="24"/>
        <v>5</v>
      </c>
    </row>
    <row r="43" spans="1:58" x14ac:dyDescent="0.2">
      <c r="A43" s="1">
        <v>38</v>
      </c>
      <c r="B43" s="2">
        <v>44373.75</v>
      </c>
      <c r="C43" s="9" t="s">
        <v>38</v>
      </c>
      <c r="D43" s="9" t="s">
        <v>193</v>
      </c>
      <c r="E43" s="1" t="s">
        <v>21</v>
      </c>
      <c r="F43" s="65" t="str">
        <f t="shared" ref="F43:F50" si="25">AY43</f>
        <v xml:space="preserve"> </v>
      </c>
      <c r="G43" s="13" t="s">
        <v>52</v>
      </c>
      <c r="H43" s="64" t="str">
        <f>AZ43</f>
        <v xml:space="preserve"> </v>
      </c>
      <c r="I43" s="91"/>
      <c r="J43" s="92" t="s">
        <v>52</v>
      </c>
      <c r="K43" s="93"/>
      <c r="L43" s="102"/>
      <c r="P43" s="103">
        <v>1</v>
      </c>
      <c r="Q43" s="145"/>
      <c r="R43" s="145"/>
      <c r="S43" s="145"/>
      <c r="T43" s="145"/>
      <c r="U43" s="146"/>
      <c r="X43" s="83">
        <f t="shared" si="10"/>
        <v>0</v>
      </c>
      <c r="AA43" s="104" t="str">
        <f t="shared" ref="AA43:AA53" si="26">BF43</f>
        <v/>
      </c>
      <c r="AC43" s="76" t="s">
        <v>102</v>
      </c>
      <c r="AD43" s="30"/>
      <c r="AF43" s="98" t="str">
        <f t="shared" si="18"/>
        <v/>
      </c>
      <c r="AG43" s="98" t="str">
        <f t="shared" si="19"/>
        <v/>
      </c>
      <c r="AH43" s="15" t="str">
        <f>IF((uitslag!I43=""),"",(uitslag!I43))</f>
        <v/>
      </c>
      <c r="AI43" s="16" t="str">
        <f>IF((uitslag!K43=""),"",(uitslag!K43))</f>
        <v/>
      </c>
      <c r="AK43" s="90">
        <f t="shared" si="11"/>
        <v>0</v>
      </c>
      <c r="AL43" s="90">
        <f t="shared" si="20"/>
        <v>0</v>
      </c>
      <c r="AM43" s="90">
        <f t="shared" si="21"/>
        <v>0</v>
      </c>
      <c r="AN43" s="90">
        <f t="shared" si="12"/>
        <v>0</v>
      </c>
      <c r="AO43" s="90">
        <f t="shared" si="22"/>
        <v>0</v>
      </c>
      <c r="AP43" s="90">
        <f t="shared" si="23"/>
        <v>0</v>
      </c>
      <c r="AQ43" s="90">
        <f t="shared" si="24"/>
        <v>5</v>
      </c>
      <c r="AV43" s="9" t="s">
        <v>193</v>
      </c>
      <c r="AW43" s="90" t="s">
        <v>63</v>
      </c>
      <c r="AX43" s="90" t="s">
        <v>82</v>
      </c>
      <c r="AY43" s="90" t="str">
        <f>IF(U7=""," ",VLOOKUP(AW43,$U$7:$AC$40,9,FALSE))</f>
        <v xml:space="preserve"> </v>
      </c>
      <c r="AZ43" s="90" t="str">
        <f>IF(U13=""," ",VLOOKUP(AX43,$U$7:$AC$40,9,FALSE))</f>
        <v xml:space="preserve"> </v>
      </c>
      <c r="BA43" s="76">
        <v>1</v>
      </c>
      <c r="BE43" s="105">
        <f>uitslag!Q43</f>
        <v>0</v>
      </c>
      <c r="BF43" s="106" t="str">
        <f>IF(Q43="","",COUNTIF($BE$43:$BE$53,Q43)*3)</f>
        <v/>
      </c>
    </row>
    <row r="44" spans="1:58" x14ac:dyDescent="0.2">
      <c r="A44" s="1">
        <v>37</v>
      </c>
      <c r="B44" s="2">
        <v>44373.875</v>
      </c>
      <c r="C44" s="9" t="s">
        <v>38</v>
      </c>
      <c r="D44" s="9" t="s">
        <v>194</v>
      </c>
      <c r="E44" s="1" t="s">
        <v>15</v>
      </c>
      <c r="F44" s="65" t="str">
        <f t="shared" si="25"/>
        <v xml:space="preserve"> </v>
      </c>
      <c r="G44" s="13" t="s">
        <v>52</v>
      </c>
      <c r="H44" s="64" t="str">
        <f>AZ44</f>
        <v xml:space="preserve"> </v>
      </c>
      <c r="I44" s="91"/>
      <c r="J44" s="92" t="s">
        <v>52</v>
      </c>
      <c r="K44" s="93"/>
      <c r="L44" s="102"/>
      <c r="N44" s="107" t="s">
        <v>222</v>
      </c>
      <c r="P44" s="103">
        <v>2</v>
      </c>
      <c r="Q44" s="145"/>
      <c r="R44" s="145"/>
      <c r="S44" s="145"/>
      <c r="T44" s="145"/>
      <c r="U44" s="146"/>
      <c r="X44" s="83">
        <f t="shared" si="10"/>
        <v>0</v>
      </c>
      <c r="AA44" s="104" t="str">
        <f t="shared" si="26"/>
        <v/>
      </c>
      <c r="AC44" s="76" t="s">
        <v>102</v>
      </c>
      <c r="AD44" s="30" t="s">
        <v>104</v>
      </c>
      <c r="AE44" s="29" t="str">
        <f t="shared" ref="AE43:AE79" si="27">CONCATENATE(AD44," ",AC44)</f>
        <v>Tim Krul (k)</v>
      </c>
      <c r="AF44" s="98" t="str">
        <f t="shared" si="18"/>
        <v/>
      </c>
      <c r="AG44" s="98" t="str">
        <f t="shared" si="19"/>
        <v/>
      </c>
      <c r="AH44" s="15" t="str">
        <f>IF((uitslag!I44=""),"",(uitslag!I44))</f>
        <v/>
      </c>
      <c r="AI44" s="16" t="str">
        <f>IF((uitslag!K44=""),"",(uitslag!K44))</f>
        <v/>
      </c>
      <c r="AK44" s="90">
        <f t="shared" si="11"/>
        <v>0</v>
      </c>
      <c r="AL44" s="90">
        <f t="shared" si="20"/>
        <v>0</v>
      </c>
      <c r="AM44" s="90">
        <f t="shared" si="21"/>
        <v>0</v>
      </c>
      <c r="AN44" s="90">
        <f t="shared" si="12"/>
        <v>0</v>
      </c>
      <c r="AO44" s="90">
        <f t="shared" si="22"/>
        <v>0</v>
      </c>
      <c r="AP44" s="90">
        <f t="shared" si="23"/>
        <v>0</v>
      </c>
      <c r="AQ44" s="90">
        <f t="shared" si="24"/>
        <v>5</v>
      </c>
      <c r="AS44" s="76" t="s">
        <v>64</v>
      </c>
      <c r="AT44" s="76" t="str">
        <f>IF(U7=""," ",VLOOKUP(AS44,$U$7:$AC$40,9,FALSE))</f>
        <v xml:space="preserve"> </v>
      </c>
      <c r="AV44" s="9" t="s">
        <v>194</v>
      </c>
      <c r="AW44" s="90" t="s">
        <v>61</v>
      </c>
      <c r="AX44" s="90" t="s">
        <v>86</v>
      </c>
      <c r="AY44" s="90" t="str">
        <f>IF(U7=""," ",VLOOKUP(AW44,$U$7:$AC$40,9,FALSE))</f>
        <v xml:space="preserve"> </v>
      </c>
      <c r="AZ44" s="90" t="str">
        <f>IF(U19=""," ",VLOOKUP(AX44,$U$7:$AC$40,9,FALSE))</f>
        <v xml:space="preserve"> </v>
      </c>
      <c r="BA44" s="76">
        <v>2</v>
      </c>
      <c r="BE44" s="105">
        <f>uitslag!Q44</f>
        <v>0</v>
      </c>
      <c r="BF44" s="106" t="str">
        <f t="shared" ref="BF44:BF53" si="28">IF(Q44="","",COUNTIF($BE$43:$BE$53,Q44)*3)</f>
        <v/>
      </c>
    </row>
    <row r="45" spans="1:58" x14ac:dyDescent="0.2">
      <c r="A45" s="1">
        <v>40</v>
      </c>
      <c r="B45" s="2">
        <v>44374.75</v>
      </c>
      <c r="C45" s="9" t="s">
        <v>38</v>
      </c>
      <c r="D45" s="9" t="s">
        <v>216</v>
      </c>
      <c r="E45" s="1" t="s">
        <v>33</v>
      </c>
      <c r="F45" s="65" t="str">
        <f t="shared" si="25"/>
        <v xml:space="preserve"> </v>
      </c>
      <c r="G45" s="13" t="s">
        <v>52</v>
      </c>
      <c r="H45" s="67"/>
      <c r="I45" s="91"/>
      <c r="J45" s="92" t="s">
        <v>52</v>
      </c>
      <c r="K45" s="93"/>
      <c r="L45" s="102"/>
      <c r="N45" s="107" t="s">
        <v>223</v>
      </c>
      <c r="P45" s="103">
        <v>3</v>
      </c>
      <c r="Q45" s="145"/>
      <c r="R45" s="145"/>
      <c r="S45" s="145"/>
      <c r="T45" s="145"/>
      <c r="U45" s="146"/>
      <c r="X45" s="83">
        <f t="shared" si="10"/>
        <v>0</v>
      </c>
      <c r="AA45" s="104" t="str">
        <f t="shared" si="26"/>
        <v/>
      </c>
      <c r="AC45" s="76" t="s">
        <v>102</v>
      </c>
      <c r="AD45" s="30" t="s">
        <v>105</v>
      </c>
      <c r="AE45" s="29" t="str">
        <f t="shared" si="27"/>
        <v>Maarten Stekelenburg (k)</v>
      </c>
      <c r="AF45" s="98" t="str">
        <f t="shared" si="18"/>
        <v/>
      </c>
      <c r="AG45" s="98" t="str">
        <f t="shared" si="19"/>
        <v/>
      </c>
      <c r="AH45" s="15" t="str">
        <f>IF((uitslag!I45=""),"",(uitslag!I45))</f>
        <v/>
      </c>
      <c r="AI45" s="16" t="str">
        <f>IF((uitslag!K45=""),"",(uitslag!K45))</f>
        <v/>
      </c>
      <c r="AK45" s="90">
        <f t="shared" si="11"/>
        <v>0</v>
      </c>
      <c r="AL45" s="90">
        <f t="shared" si="20"/>
        <v>0</v>
      </c>
      <c r="AM45" s="90">
        <f t="shared" si="21"/>
        <v>0</v>
      </c>
      <c r="AN45" s="90">
        <f t="shared" si="12"/>
        <v>0</v>
      </c>
      <c r="AO45" s="90">
        <f t="shared" si="22"/>
        <v>0</v>
      </c>
      <c r="AP45" s="90">
        <f t="shared" si="23"/>
        <v>0</v>
      </c>
      <c r="AQ45" s="90">
        <f t="shared" si="24"/>
        <v>5</v>
      </c>
      <c r="AS45" s="76" t="s">
        <v>83</v>
      </c>
      <c r="AT45" s="76" t="str">
        <f>IF(U13=""," ",VLOOKUP(AS45,$U$7:$AC$40,9,FALSE))</f>
        <v xml:space="preserve"> </v>
      </c>
      <c r="AV45" s="9" t="s">
        <v>195</v>
      </c>
      <c r="AW45" s="90" t="s">
        <v>85</v>
      </c>
      <c r="AX45" s="90"/>
      <c r="AY45" s="90" t="str">
        <f>IF(U19=""," ",VLOOKUP(AW45,$U$7:$AC$40,9,FALSE))</f>
        <v xml:space="preserve"> </v>
      </c>
      <c r="AZ45" s="90"/>
      <c r="BE45" s="105">
        <f>uitslag!Q45</f>
        <v>0</v>
      </c>
      <c r="BF45" s="106" t="str">
        <f t="shared" si="28"/>
        <v/>
      </c>
    </row>
    <row r="46" spans="1:58" x14ac:dyDescent="0.2">
      <c r="A46" s="1">
        <v>39</v>
      </c>
      <c r="B46" s="2">
        <v>44374.875</v>
      </c>
      <c r="C46" s="9" t="s">
        <v>38</v>
      </c>
      <c r="D46" s="9" t="s">
        <v>196</v>
      </c>
      <c r="E46" s="1" t="s">
        <v>29</v>
      </c>
      <c r="F46" s="65" t="str">
        <f t="shared" si="25"/>
        <v xml:space="preserve"> </v>
      </c>
      <c r="G46" s="13" t="s">
        <v>52</v>
      </c>
      <c r="H46" s="67"/>
      <c r="I46" s="91"/>
      <c r="J46" s="92" t="s">
        <v>52</v>
      </c>
      <c r="K46" s="93"/>
      <c r="L46" s="102"/>
      <c r="N46" s="90" t="str">
        <f t="shared" ref="N46:N51" si="29">AS44 &amp; " = " &amp; AT44</f>
        <v xml:space="preserve">A3 =  </v>
      </c>
      <c r="P46" s="103">
        <v>4</v>
      </c>
      <c r="Q46" s="145"/>
      <c r="R46" s="145"/>
      <c r="S46" s="145"/>
      <c r="T46" s="145"/>
      <c r="U46" s="146"/>
      <c r="X46" s="83">
        <f t="shared" si="10"/>
        <v>0</v>
      </c>
      <c r="AA46" s="104" t="str">
        <f t="shared" si="26"/>
        <v/>
      </c>
      <c r="AC46" s="76" t="s">
        <v>102</v>
      </c>
      <c r="AD46" s="30" t="s">
        <v>147</v>
      </c>
      <c r="AE46" s="29" t="str">
        <f t="shared" si="27"/>
        <v>Marco Bizot (k)</v>
      </c>
      <c r="AF46" s="98" t="str">
        <f t="shared" si="18"/>
        <v/>
      </c>
      <c r="AG46" s="98" t="str">
        <f t="shared" si="19"/>
        <v/>
      </c>
      <c r="AH46" s="15" t="str">
        <f>IF((uitslag!I46=""),"",(uitslag!I46))</f>
        <v/>
      </c>
      <c r="AI46" s="16" t="str">
        <f>IF((uitslag!K46=""),"",(uitslag!K46))</f>
        <v/>
      </c>
      <c r="AK46" s="90">
        <f t="shared" si="11"/>
        <v>0</v>
      </c>
      <c r="AL46" s="90">
        <f t="shared" si="20"/>
        <v>0</v>
      </c>
      <c r="AM46" s="90">
        <f t="shared" si="21"/>
        <v>0</v>
      </c>
      <c r="AN46" s="90">
        <f t="shared" si="12"/>
        <v>0</v>
      </c>
      <c r="AO46" s="90">
        <f t="shared" si="22"/>
        <v>0</v>
      </c>
      <c r="AP46" s="90">
        <f t="shared" si="23"/>
        <v>0</v>
      </c>
      <c r="AQ46" s="90">
        <f t="shared" si="24"/>
        <v>5</v>
      </c>
      <c r="AS46" s="76" t="s">
        <v>87</v>
      </c>
      <c r="AT46" s="76" t="str">
        <f>IF(U19=""," ",VLOOKUP(AS46,$U$7:$AC$40,9,FALSE))</f>
        <v xml:space="preserve"> </v>
      </c>
      <c r="AV46" s="9" t="s">
        <v>196</v>
      </c>
      <c r="AW46" s="90" t="s">
        <v>81</v>
      </c>
      <c r="AX46" s="90"/>
      <c r="AY46" s="90" t="str">
        <f>IF(U13=""," ",VLOOKUP(AW46,$U$7:$AC$40,9,FALSE))</f>
        <v xml:space="preserve"> </v>
      </c>
      <c r="AZ46" s="90"/>
      <c r="BE46" s="105">
        <f>uitslag!Q46</f>
        <v>0</v>
      </c>
      <c r="BF46" s="106" t="str">
        <f>IF(Q46="","",COUNTIF($BE$43:$BE$53,Q46)*3)</f>
        <v/>
      </c>
    </row>
    <row r="47" spans="1:58" x14ac:dyDescent="0.2">
      <c r="A47" s="1">
        <v>42</v>
      </c>
      <c r="B47" s="2">
        <v>44375.75</v>
      </c>
      <c r="C47" s="9" t="s">
        <v>38</v>
      </c>
      <c r="D47" s="9" t="s">
        <v>201</v>
      </c>
      <c r="E47" s="1" t="s">
        <v>8</v>
      </c>
      <c r="F47" s="65" t="str">
        <f t="shared" si="25"/>
        <v xml:space="preserve"> </v>
      </c>
      <c r="G47" s="13" t="s">
        <v>52</v>
      </c>
      <c r="H47" s="64" t="str">
        <f>AZ47</f>
        <v xml:space="preserve"> </v>
      </c>
      <c r="I47" s="91"/>
      <c r="J47" s="92" t="s">
        <v>52</v>
      </c>
      <c r="K47" s="93"/>
      <c r="L47" s="102"/>
      <c r="N47" s="90" t="str">
        <f t="shared" si="29"/>
        <v xml:space="preserve">B3 =  </v>
      </c>
      <c r="P47" s="103">
        <v>5</v>
      </c>
      <c r="Q47" s="145"/>
      <c r="R47" s="145"/>
      <c r="S47" s="145"/>
      <c r="T47" s="145"/>
      <c r="U47" s="146"/>
      <c r="X47" s="83">
        <f t="shared" si="10"/>
        <v>0</v>
      </c>
      <c r="AA47" s="104" t="str">
        <f t="shared" si="26"/>
        <v/>
      </c>
      <c r="AC47" s="76" t="s">
        <v>106</v>
      </c>
      <c r="AD47" s="29" t="s">
        <v>134</v>
      </c>
      <c r="AE47" s="29" t="str">
        <f t="shared" ref="AE47:AE55" si="30">CONCATENATE(AD47," ",AC47)</f>
        <v>Patrick van Aanholt (v)</v>
      </c>
      <c r="AF47" s="98" t="str">
        <f t="shared" si="18"/>
        <v/>
      </c>
      <c r="AG47" s="98" t="str">
        <f t="shared" si="19"/>
        <v/>
      </c>
      <c r="AH47" s="15" t="str">
        <f>IF((uitslag!I47=""),"",(uitslag!I47))</f>
        <v/>
      </c>
      <c r="AI47" s="16" t="str">
        <f>IF((uitslag!K47=""),"",(uitslag!K47))</f>
        <v/>
      </c>
      <c r="AK47" s="90">
        <f t="shared" si="11"/>
        <v>0</v>
      </c>
      <c r="AL47" s="90">
        <f t="shared" si="20"/>
        <v>0</v>
      </c>
      <c r="AM47" s="90">
        <f t="shared" si="21"/>
        <v>0</v>
      </c>
      <c r="AN47" s="90">
        <f t="shared" si="12"/>
        <v>0</v>
      </c>
      <c r="AO47" s="90">
        <f t="shared" si="22"/>
        <v>0</v>
      </c>
      <c r="AP47" s="90">
        <f t="shared" si="23"/>
        <v>0</v>
      </c>
      <c r="AQ47" s="90">
        <f t="shared" si="24"/>
        <v>5</v>
      </c>
      <c r="AS47" s="76" t="s">
        <v>91</v>
      </c>
      <c r="AT47" s="76" t="str">
        <f>IF(U25=""," ",VLOOKUP(AS47,$U$7:$AC$40,9,FALSE))</f>
        <v xml:space="preserve"> </v>
      </c>
      <c r="AV47" s="9" t="s">
        <v>197</v>
      </c>
      <c r="AW47" s="90" t="s">
        <v>90</v>
      </c>
      <c r="AX47" s="90" t="s">
        <v>95</v>
      </c>
      <c r="AY47" s="90" t="str">
        <f>IF(U25=""," ",VLOOKUP(AW47,$U$7:$AC$40,9,FALSE))</f>
        <v xml:space="preserve"> </v>
      </c>
      <c r="AZ47" s="90" t="str">
        <f>IF(U31=""," ",VLOOKUP(AX47,$U$7:$AC$40,9,FALSE))</f>
        <v xml:space="preserve"> </v>
      </c>
      <c r="BE47" s="105">
        <f>uitslag!Q47</f>
        <v>0</v>
      </c>
      <c r="BF47" s="106" t="str">
        <f t="shared" si="28"/>
        <v/>
      </c>
    </row>
    <row r="48" spans="1:58" x14ac:dyDescent="0.2">
      <c r="A48" s="1">
        <v>41</v>
      </c>
      <c r="B48" s="2">
        <v>44375.875</v>
      </c>
      <c r="C48" s="9" t="s">
        <v>38</v>
      </c>
      <c r="D48" s="9" t="s">
        <v>198</v>
      </c>
      <c r="E48" s="1" t="s">
        <v>19</v>
      </c>
      <c r="F48" s="65" t="str">
        <f t="shared" si="25"/>
        <v xml:space="preserve"> </v>
      </c>
      <c r="G48" s="13" t="s">
        <v>52</v>
      </c>
      <c r="H48" s="67"/>
      <c r="I48" s="91"/>
      <c r="J48" s="92" t="s">
        <v>52</v>
      </c>
      <c r="K48" s="93"/>
      <c r="L48" s="102"/>
      <c r="N48" s="90" t="str">
        <f t="shared" si="29"/>
        <v xml:space="preserve">C3 =  </v>
      </c>
      <c r="P48" s="103">
        <v>6</v>
      </c>
      <c r="Q48" s="145"/>
      <c r="R48" s="145"/>
      <c r="S48" s="145"/>
      <c r="T48" s="145"/>
      <c r="U48" s="146"/>
      <c r="X48" s="83">
        <f t="shared" si="10"/>
        <v>0</v>
      </c>
      <c r="AA48" s="104" t="str">
        <f t="shared" si="26"/>
        <v/>
      </c>
      <c r="AC48" s="76" t="s">
        <v>106</v>
      </c>
      <c r="AD48" s="29" t="s">
        <v>107</v>
      </c>
      <c r="AE48" s="29" t="str">
        <f t="shared" si="30"/>
        <v>Daley Blind (v)</v>
      </c>
      <c r="AF48" s="98" t="str">
        <f t="shared" si="18"/>
        <v/>
      </c>
      <c r="AG48" s="98" t="str">
        <f t="shared" si="19"/>
        <v/>
      </c>
      <c r="AH48" s="15" t="str">
        <f>IF((uitslag!I48=""),"",(uitslag!I48))</f>
        <v/>
      </c>
      <c r="AI48" s="16" t="str">
        <f>IF((uitslag!K48=""),"",(uitslag!K48))</f>
        <v/>
      </c>
      <c r="AK48" s="90">
        <f t="shared" ref="AK48:AK57" si="31">IF(OR(AH48="",AI48=""),0,(IF(SUM(AL48:AQ48)&gt;10,10,SUM(AL48:AQ48))))</f>
        <v>0</v>
      </c>
      <c r="AL48" s="90">
        <f t="shared" si="20"/>
        <v>0</v>
      </c>
      <c r="AM48" s="90">
        <f t="shared" si="21"/>
        <v>0</v>
      </c>
      <c r="AN48" s="90">
        <f t="shared" ref="AN48:AN57" si="32">IF(AND(AL48=1,AM48=1),10,0)</f>
        <v>0</v>
      </c>
      <c r="AO48" s="90">
        <f t="shared" si="22"/>
        <v>0</v>
      </c>
      <c r="AP48" s="90">
        <f t="shared" si="23"/>
        <v>0</v>
      </c>
      <c r="AQ48" s="90">
        <f t="shared" si="24"/>
        <v>5</v>
      </c>
      <c r="AS48" s="76" t="s">
        <v>96</v>
      </c>
      <c r="AT48" s="76" t="str">
        <f>IF(U31=""," ",VLOOKUP(AS48,$U$7:$AC$40,9,FALSE))</f>
        <v xml:space="preserve"> </v>
      </c>
      <c r="AV48" s="9" t="s">
        <v>198</v>
      </c>
      <c r="AW48" s="90" t="s">
        <v>94</v>
      </c>
      <c r="AX48" s="90"/>
      <c r="AY48" s="90" t="str">
        <f>IF(U37=""," ",VLOOKUP(AW48,$U$7:$AC$40,9,FALSE))</f>
        <v xml:space="preserve"> </v>
      </c>
      <c r="AZ48" s="90"/>
      <c r="BE48" s="105">
        <f>uitslag!Q48</f>
        <v>0</v>
      </c>
      <c r="BF48" s="106" t="str">
        <f t="shared" si="28"/>
        <v/>
      </c>
    </row>
    <row r="49" spans="1:58" ht="15.75" thickBot="1" x14ac:dyDescent="0.25">
      <c r="A49" s="1">
        <v>44</v>
      </c>
      <c r="B49" s="2">
        <v>44376.75</v>
      </c>
      <c r="C49" s="9" t="s">
        <v>38</v>
      </c>
      <c r="D49" s="9" t="s">
        <v>199</v>
      </c>
      <c r="E49" s="1" t="s">
        <v>27</v>
      </c>
      <c r="F49" s="65" t="str">
        <f t="shared" si="25"/>
        <v xml:space="preserve"> </v>
      </c>
      <c r="G49" s="13" t="s">
        <v>52</v>
      </c>
      <c r="H49" s="64" t="str">
        <f>AZ49</f>
        <v xml:space="preserve"> </v>
      </c>
      <c r="I49" s="91"/>
      <c r="J49" s="92" t="s">
        <v>52</v>
      </c>
      <c r="K49" s="93"/>
      <c r="L49" s="102"/>
      <c r="N49" s="90" t="str">
        <f t="shared" si="29"/>
        <v xml:space="preserve">D3 =  </v>
      </c>
      <c r="P49" s="103">
        <v>7</v>
      </c>
      <c r="Q49" s="145"/>
      <c r="R49" s="145"/>
      <c r="S49" s="145"/>
      <c r="T49" s="145"/>
      <c r="U49" s="146"/>
      <c r="X49" s="83">
        <f t="shared" si="10"/>
        <v>0</v>
      </c>
      <c r="Y49" s="108" t="s">
        <v>212</v>
      </c>
      <c r="AA49" s="104" t="str">
        <f t="shared" si="26"/>
        <v/>
      </c>
      <c r="AC49" s="76" t="s">
        <v>106</v>
      </c>
      <c r="AD49" s="29" t="s">
        <v>138</v>
      </c>
      <c r="AE49" s="29" t="str">
        <f t="shared" si="30"/>
        <v>Danzel Dumfries (v)</v>
      </c>
      <c r="AF49" s="98" t="str">
        <f t="shared" si="18"/>
        <v/>
      </c>
      <c r="AG49" s="98" t="str">
        <f t="shared" si="19"/>
        <v/>
      </c>
      <c r="AH49" s="15" t="str">
        <f>IF((uitslag!I49=""),"",(uitslag!I49))</f>
        <v/>
      </c>
      <c r="AI49" s="16" t="str">
        <f>IF((uitslag!K49=""),"",(uitslag!K49))</f>
        <v/>
      </c>
      <c r="AK49" s="90">
        <f t="shared" si="31"/>
        <v>0</v>
      </c>
      <c r="AL49" s="90">
        <f t="shared" si="20"/>
        <v>0</v>
      </c>
      <c r="AM49" s="90">
        <f t="shared" si="21"/>
        <v>0</v>
      </c>
      <c r="AN49" s="90">
        <f t="shared" si="32"/>
        <v>0</v>
      </c>
      <c r="AO49" s="90">
        <f t="shared" si="22"/>
        <v>0</v>
      </c>
      <c r="AP49" s="90">
        <f t="shared" si="23"/>
        <v>0</v>
      </c>
      <c r="AQ49" s="90">
        <f t="shared" si="24"/>
        <v>5</v>
      </c>
      <c r="AS49" s="76" t="s">
        <v>99</v>
      </c>
      <c r="AT49" s="76" t="str">
        <f>IF(U37=""," ",VLOOKUP(AS49,$U$7:$AC$40,9,FALSE))</f>
        <v xml:space="preserve"> </v>
      </c>
      <c r="AV49" s="9" t="s">
        <v>199</v>
      </c>
      <c r="AW49" s="90" t="s">
        <v>89</v>
      </c>
      <c r="AX49" s="90" t="s">
        <v>98</v>
      </c>
      <c r="AY49" s="90" t="str">
        <f>IF(U25=""," ",VLOOKUP(AW49,$U$7:$AC$40,9,FALSE))</f>
        <v xml:space="preserve"> </v>
      </c>
      <c r="AZ49" s="90" t="str">
        <f>IF(U37=""," ",VLOOKUP(AX49,$U$7:$AC$40,9,FALSE))</f>
        <v xml:space="preserve"> </v>
      </c>
      <c r="BE49" s="105">
        <f>uitslag!Q49</f>
        <v>0</v>
      </c>
      <c r="BF49" s="106" t="str">
        <f t="shared" si="28"/>
        <v/>
      </c>
    </row>
    <row r="50" spans="1:58" ht="15.75" thickBot="1" x14ac:dyDescent="0.25">
      <c r="A50" s="1">
        <v>43</v>
      </c>
      <c r="B50" s="2">
        <v>44376.875</v>
      </c>
      <c r="C50" s="9" t="s">
        <v>38</v>
      </c>
      <c r="D50" s="9" t="s">
        <v>200</v>
      </c>
      <c r="E50" s="1" t="s">
        <v>24</v>
      </c>
      <c r="F50" s="65" t="str">
        <f t="shared" si="25"/>
        <v xml:space="preserve"> </v>
      </c>
      <c r="G50" s="13" t="s">
        <v>52</v>
      </c>
      <c r="H50" s="67"/>
      <c r="I50" s="91"/>
      <c r="J50" s="92" t="s">
        <v>52</v>
      </c>
      <c r="K50" s="93"/>
      <c r="L50" s="102"/>
      <c r="N50" s="90" t="str">
        <f t="shared" si="29"/>
        <v xml:space="preserve">E3 =  </v>
      </c>
      <c r="P50" s="103">
        <v>8</v>
      </c>
      <c r="Q50" s="145"/>
      <c r="R50" s="145"/>
      <c r="S50" s="145"/>
      <c r="T50" s="145"/>
      <c r="U50" s="146"/>
      <c r="X50" s="109">
        <f t="shared" si="10"/>
        <v>0</v>
      </c>
      <c r="Y50" s="110">
        <f>AL77</f>
        <v>0</v>
      </c>
      <c r="AA50" s="104" t="str">
        <f t="shared" si="26"/>
        <v/>
      </c>
      <c r="AC50" s="76" t="s">
        <v>106</v>
      </c>
      <c r="AD50" s="29" t="s">
        <v>142</v>
      </c>
      <c r="AE50" s="29" t="str">
        <f t="shared" si="30"/>
        <v>Matthijs de Ligt (v)</v>
      </c>
      <c r="AF50" s="98" t="str">
        <f t="shared" si="18"/>
        <v/>
      </c>
      <c r="AG50" s="98" t="str">
        <f t="shared" si="19"/>
        <v/>
      </c>
      <c r="AH50" s="15" t="str">
        <f>IF((uitslag!I50=""),"",(uitslag!I50))</f>
        <v/>
      </c>
      <c r="AI50" s="16" t="str">
        <f>IF((uitslag!K50=""),"",(uitslag!K50))</f>
        <v/>
      </c>
      <c r="AK50" s="90">
        <f t="shared" si="31"/>
        <v>0</v>
      </c>
      <c r="AL50" s="90">
        <f t="shared" si="20"/>
        <v>0</v>
      </c>
      <c r="AM50" s="90">
        <f t="shared" si="21"/>
        <v>0</v>
      </c>
      <c r="AN50" s="90">
        <f t="shared" si="32"/>
        <v>0</v>
      </c>
      <c r="AO50" s="90">
        <f t="shared" si="22"/>
        <v>0</v>
      </c>
      <c r="AP50" s="90">
        <f t="shared" si="23"/>
        <v>0</v>
      </c>
      <c r="AQ50" s="90">
        <f t="shared" si="24"/>
        <v>5</v>
      </c>
      <c r="AV50" s="9" t="s">
        <v>200</v>
      </c>
      <c r="AW50" s="90" t="s">
        <v>93</v>
      </c>
      <c r="AX50" s="90"/>
      <c r="AY50" s="90" t="str">
        <f>IF(U31=""," ",VLOOKUP(AW50,$U$7:$AC$40,9,FALSE))</f>
        <v xml:space="preserve"> </v>
      </c>
      <c r="AZ50" s="90"/>
      <c r="BE50" s="105">
        <f>uitslag!Q50</f>
        <v>0</v>
      </c>
      <c r="BF50" s="106" t="str">
        <f t="shared" si="28"/>
        <v/>
      </c>
    </row>
    <row r="51" spans="1:58" x14ac:dyDescent="0.2">
      <c r="A51" s="1">
        <v>45</v>
      </c>
      <c r="B51" s="2">
        <v>44379.75</v>
      </c>
      <c r="C51" s="32" t="s">
        <v>39</v>
      </c>
      <c r="D51" s="32" t="s">
        <v>187</v>
      </c>
      <c r="E51" s="1" t="s">
        <v>11</v>
      </c>
      <c r="F51" s="65" t="str">
        <f>IF(L48="","Winnaar 41",IF(L48=1,F48,H48))</f>
        <v>Winnaar 41</v>
      </c>
      <c r="G51" s="13" t="s">
        <v>52</v>
      </c>
      <c r="H51" s="66" t="str">
        <f>IF(L47="","Winnaar 42",IF(L47=1,F47,H47))</f>
        <v>Winnaar 42</v>
      </c>
      <c r="I51" s="91"/>
      <c r="J51" s="92" t="s">
        <v>52</v>
      </c>
      <c r="K51" s="93"/>
      <c r="L51" s="102"/>
      <c r="N51" s="90" t="str">
        <f t="shared" si="29"/>
        <v xml:space="preserve">F3 =  </v>
      </c>
      <c r="P51" s="103">
        <v>9</v>
      </c>
      <c r="Q51" s="145"/>
      <c r="R51" s="145"/>
      <c r="S51" s="145"/>
      <c r="T51" s="145"/>
      <c r="U51" s="146"/>
      <c r="X51" s="83">
        <f t="shared" si="10"/>
        <v>0</v>
      </c>
      <c r="AA51" s="104" t="str">
        <f t="shared" si="26"/>
        <v/>
      </c>
      <c r="AC51" s="76" t="s">
        <v>106</v>
      </c>
      <c r="AD51" s="29" t="s">
        <v>145</v>
      </c>
      <c r="AE51" s="29" t="str">
        <f t="shared" si="30"/>
        <v>Joel Veltman (v)</v>
      </c>
      <c r="AF51" s="98" t="str">
        <f t="shared" si="18"/>
        <v/>
      </c>
      <c r="AG51" s="98" t="str">
        <f t="shared" si="19"/>
        <v/>
      </c>
      <c r="AH51" s="15" t="str">
        <f>IF((uitslag!I51=""),"",(uitslag!I51))</f>
        <v/>
      </c>
      <c r="AI51" s="16" t="str">
        <f>IF((uitslag!K51=""),"",(uitslag!K51))</f>
        <v/>
      </c>
      <c r="AK51" s="90">
        <f t="shared" si="31"/>
        <v>0</v>
      </c>
      <c r="AL51" s="90">
        <f t="shared" si="20"/>
        <v>0</v>
      </c>
      <c r="AM51" s="90">
        <f t="shared" si="21"/>
        <v>0</v>
      </c>
      <c r="AN51" s="90">
        <f t="shared" si="32"/>
        <v>0</v>
      </c>
      <c r="AO51" s="90">
        <f t="shared" si="22"/>
        <v>0</v>
      </c>
      <c r="AP51" s="90">
        <f t="shared" si="23"/>
        <v>0</v>
      </c>
      <c r="AQ51" s="90">
        <f t="shared" si="24"/>
        <v>5</v>
      </c>
      <c r="BE51" s="105">
        <f>uitslag!Q51</f>
        <v>0</v>
      </c>
      <c r="BF51" s="106" t="str">
        <f t="shared" si="28"/>
        <v/>
      </c>
    </row>
    <row r="52" spans="1:58" x14ac:dyDescent="0.2">
      <c r="A52" s="1">
        <v>46</v>
      </c>
      <c r="B52" s="2">
        <v>44379.875</v>
      </c>
      <c r="C52" s="32" t="s">
        <v>39</v>
      </c>
      <c r="D52" s="32" t="s">
        <v>188</v>
      </c>
      <c r="E52" s="1" t="s">
        <v>35</v>
      </c>
      <c r="F52" s="65" t="str">
        <f>IF(L46="","Winnaar 39",IF(L46=1,F46,H46))</f>
        <v>Winnaar 39</v>
      </c>
      <c r="G52" s="13" t="s">
        <v>52</v>
      </c>
      <c r="H52" s="66" t="str">
        <f>IF(L44="","Winnaar 37",IF(L44=1,F44,H44))</f>
        <v>Winnaar 37</v>
      </c>
      <c r="I52" s="91"/>
      <c r="J52" s="92" t="s">
        <v>52</v>
      </c>
      <c r="K52" s="93"/>
      <c r="L52" s="102"/>
      <c r="P52" s="103">
        <v>10</v>
      </c>
      <c r="Q52" s="145"/>
      <c r="R52" s="145"/>
      <c r="S52" s="145"/>
      <c r="T52" s="145"/>
      <c r="U52" s="146"/>
      <c r="X52" s="83">
        <f t="shared" si="10"/>
        <v>0</v>
      </c>
      <c r="AA52" s="104" t="str">
        <f t="shared" si="26"/>
        <v/>
      </c>
      <c r="AC52" s="76" t="s">
        <v>106</v>
      </c>
      <c r="AD52" s="29" t="s">
        <v>146</v>
      </c>
      <c r="AE52" s="29" t="str">
        <f t="shared" si="30"/>
        <v>Owen Wijndal (v)</v>
      </c>
      <c r="AF52" s="98" t="str">
        <f t="shared" si="18"/>
        <v/>
      </c>
      <c r="AG52" s="98" t="str">
        <f t="shared" si="19"/>
        <v/>
      </c>
      <c r="AH52" s="15" t="str">
        <f>IF((uitslag!I52=""),"",(uitslag!I52))</f>
        <v/>
      </c>
      <c r="AI52" s="16" t="str">
        <f>IF((uitslag!K52=""),"",(uitslag!K52))</f>
        <v/>
      </c>
      <c r="AK52" s="90">
        <f t="shared" si="31"/>
        <v>0</v>
      </c>
      <c r="AL52" s="90">
        <f t="shared" si="20"/>
        <v>0</v>
      </c>
      <c r="AM52" s="90">
        <f t="shared" si="21"/>
        <v>0</v>
      </c>
      <c r="AN52" s="90">
        <f t="shared" si="32"/>
        <v>0</v>
      </c>
      <c r="AO52" s="90">
        <f t="shared" si="22"/>
        <v>0</v>
      </c>
      <c r="AP52" s="90">
        <f t="shared" si="23"/>
        <v>0</v>
      </c>
      <c r="AQ52" s="90">
        <f t="shared" si="24"/>
        <v>5</v>
      </c>
      <c r="BE52" s="105">
        <f>uitslag!Q52</f>
        <v>0</v>
      </c>
      <c r="BF52" s="106" t="str">
        <f t="shared" si="28"/>
        <v/>
      </c>
    </row>
    <row r="53" spans="1:58" ht="15.75" thickBot="1" x14ac:dyDescent="0.25">
      <c r="A53" s="1">
        <v>47</v>
      </c>
      <c r="B53" s="2">
        <v>44380.75</v>
      </c>
      <c r="C53" s="32" t="s">
        <v>39</v>
      </c>
      <c r="D53" s="32" t="s">
        <v>189</v>
      </c>
      <c r="E53" s="1" t="s">
        <v>4</v>
      </c>
      <c r="F53" s="65" t="str">
        <f>IF(L45="","Winnaar 40",IF(L45=1,F45,H45))</f>
        <v>Winnaar 40</v>
      </c>
      <c r="G53" s="13" t="s">
        <v>52</v>
      </c>
      <c r="H53" s="66" t="str">
        <f>IF(L43="","Winnaar 38",IF(L43=1,F43,H43))</f>
        <v>Winnaar 38</v>
      </c>
      <c r="I53" s="91"/>
      <c r="J53" s="92" t="s">
        <v>52</v>
      </c>
      <c r="K53" s="93"/>
      <c r="L53" s="102"/>
      <c r="P53" s="103">
        <v>11</v>
      </c>
      <c r="Q53" s="145"/>
      <c r="R53" s="145"/>
      <c r="S53" s="145"/>
      <c r="T53" s="145"/>
      <c r="U53" s="146"/>
      <c r="X53" s="83">
        <f t="shared" si="10"/>
        <v>0</v>
      </c>
      <c r="Y53" s="108" t="s">
        <v>203</v>
      </c>
      <c r="AA53" s="104" t="str">
        <f t="shared" si="26"/>
        <v/>
      </c>
      <c r="AC53" s="76" t="s">
        <v>106</v>
      </c>
      <c r="AD53" s="29" t="s">
        <v>148</v>
      </c>
      <c r="AE53" s="29" t="str">
        <f t="shared" si="30"/>
        <v>Steven de Vrij (v)</v>
      </c>
      <c r="AF53" s="98" t="str">
        <f t="shared" si="18"/>
        <v/>
      </c>
      <c r="AG53" s="98" t="str">
        <f t="shared" si="19"/>
        <v/>
      </c>
      <c r="AH53" s="15" t="str">
        <f>IF((uitslag!I53=""),"",(uitslag!I53))</f>
        <v/>
      </c>
      <c r="AI53" s="16" t="str">
        <f>IF((uitslag!K53=""),"",(uitslag!K53))</f>
        <v/>
      </c>
      <c r="AK53" s="90">
        <f t="shared" si="31"/>
        <v>0</v>
      </c>
      <c r="AL53" s="90">
        <f t="shared" si="20"/>
        <v>0</v>
      </c>
      <c r="AM53" s="90">
        <f t="shared" si="21"/>
        <v>0</v>
      </c>
      <c r="AN53" s="90">
        <f t="shared" si="32"/>
        <v>0</v>
      </c>
      <c r="AO53" s="90">
        <f t="shared" si="22"/>
        <v>0</v>
      </c>
      <c r="AP53" s="90">
        <f t="shared" si="23"/>
        <v>0</v>
      </c>
      <c r="AQ53" s="90">
        <f t="shared" si="24"/>
        <v>5</v>
      </c>
      <c r="BE53" s="105">
        <f>uitslag!Q53</f>
        <v>0</v>
      </c>
      <c r="BF53" s="106" t="str">
        <f t="shared" si="28"/>
        <v/>
      </c>
    </row>
    <row r="54" spans="1:58" ht="16.5" thickBot="1" x14ac:dyDescent="0.3">
      <c r="A54" s="1">
        <v>48</v>
      </c>
      <c r="B54" s="2">
        <v>44380.875</v>
      </c>
      <c r="C54" s="32" t="s">
        <v>39</v>
      </c>
      <c r="D54" s="32" t="s">
        <v>190</v>
      </c>
      <c r="E54" s="1" t="s">
        <v>1</v>
      </c>
      <c r="F54" s="65" t="str">
        <f>IF(L50="","Winnaar 43",IF(L50=1,F50,H50))</f>
        <v>Winnaar 43</v>
      </c>
      <c r="G54" s="13" t="s">
        <v>52</v>
      </c>
      <c r="H54" s="66" t="str">
        <f>IF(L49="","Winnaar 44",IF(L49=1,F49,H49))</f>
        <v>Winnaar 44</v>
      </c>
      <c r="I54" s="91"/>
      <c r="J54" s="92" t="s">
        <v>52</v>
      </c>
      <c r="K54" s="93"/>
      <c r="L54" s="102"/>
      <c r="X54" s="109">
        <f t="shared" si="10"/>
        <v>0</v>
      </c>
      <c r="Y54" s="110">
        <f>AN77</f>
        <v>0</v>
      </c>
      <c r="Z54" s="111" t="s">
        <v>115</v>
      </c>
      <c r="AA54" s="104" t="str">
        <f>IF(AND(BF54&lt;&gt;"",BF54=33),15,"nvt")</f>
        <v>nvt</v>
      </c>
      <c r="AC54" s="76" t="s">
        <v>106</v>
      </c>
      <c r="AD54" s="29" t="s">
        <v>218</v>
      </c>
      <c r="AE54" s="29" t="str">
        <f t="shared" si="30"/>
        <v>Nathan Ake (v)</v>
      </c>
      <c r="AF54" s="98" t="str">
        <f t="shared" si="18"/>
        <v/>
      </c>
      <c r="AG54" s="98" t="str">
        <f t="shared" si="19"/>
        <v/>
      </c>
      <c r="AH54" s="15" t="str">
        <f>IF((uitslag!I54=""),"",(uitslag!I54))</f>
        <v/>
      </c>
      <c r="AI54" s="16" t="str">
        <f>IF((uitslag!K54=""),"",(uitslag!K54))</f>
        <v/>
      </c>
      <c r="AK54" s="90">
        <f t="shared" si="31"/>
        <v>0</v>
      </c>
      <c r="AL54" s="90">
        <f t="shared" si="20"/>
        <v>0</v>
      </c>
      <c r="AM54" s="90">
        <f t="shared" si="21"/>
        <v>0</v>
      </c>
      <c r="AN54" s="90">
        <f t="shared" si="32"/>
        <v>0</v>
      </c>
      <c r="AO54" s="90">
        <f t="shared" si="22"/>
        <v>0</v>
      </c>
      <c r="AP54" s="90">
        <f t="shared" si="23"/>
        <v>0</v>
      </c>
      <c r="AQ54" s="90">
        <f t="shared" si="24"/>
        <v>5</v>
      </c>
      <c r="BD54" s="111"/>
      <c r="BF54" s="112">
        <f>SUM(BF43:BF53)</f>
        <v>0</v>
      </c>
    </row>
    <row r="55" spans="1:58" x14ac:dyDescent="0.2">
      <c r="A55" s="1">
        <v>49</v>
      </c>
      <c r="B55" s="2">
        <v>44383.875</v>
      </c>
      <c r="C55" s="60" t="s">
        <v>40</v>
      </c>
      <c r="D55" s="60" t="s">
        <v>217</v>
      </c>
      <c r="E55" s="1" t="s">
        <v>15</v>
      </c>
      <c r="F55" s="66" t="str">
        <f>IF(L52="","Winnaar 46",IF(L52=1,F52,H52))</f>
        <v>Winnaar 46</v>
      </c>
      <c r="G55" s="13" t="s">
        <v>52</v>
      </c>
      <c r="H55" s="65" t="str">
        <f>IF(L51="","Winnaar 45",IF(L51=1,F51,H51))</f>
        <v>Winnaar 45</v>
      </c>
      <c r="I55" s="91"/>
      <c r="J55" s="92" t="s">
        <v>52</v>
      </c>
      <c r="K55" s="93"/>
      <c r="L55" s="102"/>
      <c r="X55" s="83">
        <f t="shared" si="10"/>
        <v>0</v>
      </c>
      <c r="AC55" s="76" t="s">
        <v>106</v>
      </c>
      <c r="AD55" s="29" t="s">
        <v>219</v>
      </c>
      <c r="AE55" s="29" t="str">
        <f t="shared" si="30"/>
        <v>Jurrien Timber (v)</v>
      </c>
      <c r="AF55" s="98" t="str">
        <f t="shared" si="18"/>
        <v/>
      </c>
      <c r="AG55" s="98" t="str">
        <f t="shared" si="19"/>
        <v/>
      </c>
      <c r="AH55" s="15" t="str">
        <f>IF((uitslag!I55=""),"",(uitslag!I55))</f>
        <v/>
      </c>
      <c r="AI55" s="16" t="str">
        <f>IF((uitslag!K55=""),"",(uitslag!K55))</f>
        <v/>
      </c>
      <c r="AK55" s="90">
        <f t="shared" si="31"/>
        <v>0</v>
      </c>
      <c r="AL55" s="90">
        <f t="shared" si="20"/>
        <v>0</v>
      </c>
      <c r="AM55" s="90">
        <f t="shared" si="21"/>
        <v>0</v>
      </c>
      <c r="AN55" s="90">
        <f t="shared" si="32"/>
        <v>0</v>
      </c>
      <c r="AO55" s="90">
        <f t="shared" si="22"/>
        <v>0</v>
      </c>
      <c r="AP55" s="90">
        <f t="shared" si="23"/>
        <v>0</v>
      </c>
      <c r="AQ55" s="90">
        <f t="shared" si="24"/>
        <v>5</v>
      </c>
    </row>
    <row r="56" spans="1:58" x14ac:dyDescent="0.2">
      <c r="A56" s="1">
        <v>50</v>
      </c>
      <c r="B56" s="2">
        <v>44384.875</v>
      </c>
      <c r="C56" s="60" t="s">
        <v>40</v>
      </c>
      <c r="D56" s="60" t="s">
        <v>191</v>
      </c>
      <c r="E56" s="1" t="s">
        <v>15</v>
      </c>
      <c r="F56" s="65" t="str">
        <f>IF(L54="","Winnaar 48",IF(L54=1,F54,H54))</f>
        <v>Winnaar 48</v>
      </c>
      <c r="G56" s="13" t="s">
        <v>52</v>
      </c>
      <c r="H56" s="66" t="str">
        <f>IF(L53="","Winnaar 47",IF(L53=1,F53,H53))</f>
        <v>Winnaar 47</v>
      </c>
      <c r="I56" s="91"/>
      <c r="J56" s="92" t="s">
        <v>52</v>
      </c>
      <c r="K56" s="93"/>
      <c r="L56" s="102"/>
      <c r="X56" s="83">
        <f t="shared" si="10"/>
        <v>0</v>
      </c>
      <c r="AD56" s="29"/>
      <c r="AE56" s="29" t="str">
        <f t="shared" si="27"/>
        <v> </v>
      </c>
      <c r="AF56" s="98" t="str">
        <f t="shared" si="18"/>
        <v/>
      </c>
      <c r="AG56" s="98" t="str">
        <f t="shared" si="19"/>
        <v/>
      </c>
      <c r="AH56" s="15" t="str">
        <f>IF((uitslag!I56=""),"",(uitslag!I56))</f>
        <v/>
      </c>
      <c r="AI56" s="16" t="str">
        <f>IF((uitslag!K56=""),"",(uitslag!K56))</f>
        <v/>
      </c>
      <c r="AK56" s="90">
        <f t="shared" si="31"/>
        <v>0</v>
      </c>
      <c r="AL56" s="90">
        <f t="shared" si="20"/>
        <v>0</v>
      </c>
      <c r="AM56" s="90">
        <f t="shared" si="21"/>
        <v>0</v>
      </c>
      <c r="AN56" s="90">
        <f t="shared" si="32"/>
        <v>0</v>
      </c>
      <c r="AO56" s="90">
        <f t="shared" si="22"/>
        <v>0</v>
      </c>
      <c r="AP56" s="90">
        <f t="shared" si="23"/>
        <v>0</v>
      </c>
      <c r="AQ56" s="90">
        <f t="shared" si="24"/>
        <v>5</v>
      </c>
    </row>
    <row r="57" spans="1:58" ht="15.75" x14ac:dyDescent="0.25">
      <c r="A57" s="1">
        <v>51</v>
      </c>
      <c r="B57" s="2">
        <v>44388.875</v>
      </c>
      <c r="C57" s="10" t="s">
        <v>41</v>
      </c>
      <c r="D57" s="10" t="s">
        <v>192</v>
      </c>
      <c r="E57" s="1" t="s">
        <v>15</v>
      </c>
      <c r="F57" s="65" t="str">
        <f>IF(L55="","Winnaar 49",IF(L55=1,F55,H55))</f>
        <v>Winnaar 49</v>
      </c>
      <c r="G57" s="13" t="s">
        <v>52</v>
      </c>
      <c r="H57" s="66" t="str">
        <f>IF(L56="","Winnaar 50",IF(L56=1,F56,H56))</f>
        <v>Winnaar 50</v>
      </c>
      <c r="I57" s="91"/>
      <c r="J57" s="92" t="s">
        <v>52</v>
      </c>
      <c r="K57" s="93"/>
      <c r="L57" s="102"/>
      <c r="X57" s="83">
        <f t="shared" si="10"/>
        <v>0</v>
      </c>
      <c r="Z57" s="101" t="s">
        <v>118</v>
      </c>
      <c r="AC57" s="76" t="s">
        <v>108</v>
      </c>
      <c r="AD57" s="29" t="s">
        <v>135</v>
      </c>
      <c r="AE57" s="29" t="str">
        <f t="shared" si="27"/>
        <v>Donny van de Beek (m)</v>
      </c>
      <c r="AF57" s="98" t="str">
        <f t="shared" si="18"/>
        <v/>
      </c>
      <c r="AG57" s="98" t="str">
        <f t="shared" si="19"/>
        <v/>
      </c>
      <c r="AH57" s="15" t="str">
        <f>IF((uitslag!I57=""),"",(uitslag!I57))</f>
        <v/>
      </c>
      <c r="AI57" s="16" t="str">
        <f>IF((uitslag!K57=""),"",(uitslag!K57))</f>
        <v/>
      </c>
      <c r="AK57" s="90">
        <f t="shared" si="31"/>
        <v>0</v>
      </c>
      <c r="AL57" s="90">
        <f t="shared" si="20"/>
        <v>0</v>
      </c>
      <c r="AM57" s="90">
        <f t="shared" si="21"/>
        <v>0</v>
      </c>
      <c r="AN57" s="90">
        <f t="shared" si="32"/>
        <v>0</v>
      </c>
      <c r="AO57" s="90">
        <f t="shared" si="22"/>
        <v>0</v>
      </c>
      <c r="AP57" s="90">
        <f t="shared" si="23"/>
        <v>0</v>
      </c>
      <c r="AQ57" s="90">
        <f t="shared" si="24"/>
        <v>5</v>
      </c>
    </row>
    <row r="58" spans="1:58" x14ac:dyDescent="0.2">
      <c r="Z58" s="103"/>
      <c r="AC58" s="76" t="s">
        <v>108</v>
      </c>
      <c r="AD58" s="29" t="s">
        <v>139</v>
      </c>
      <c r="AE58" s="29" t="str">
        <f t="shared" si="27"/>
        <v>Ryan Gravenberch (m)</v>
      </c>
    </row>
    <row r="59" spans="1:58" ht="20.25" x14ac:dyDescent="0.3">
      <c r="B59" s="153" t="s">
        <v>116</v>
      </c>
      <c r="C59" s="154"/>
      <c r="D59" s="155"/>
      <c r="E59" s="147"/>
      <c r="F59" s="147"/>
      <c r="G59" s="147"/>
      <c r="H59" s="147"/>
      <c r="I59" s="147"/>
      <c r="J59" s="147"/>
      <c r="Z59" s="83">
        <f>AZ59</f>
        <v>0</v>
      </c>
      <c r="AC59" s="76" t="s">
        <v>108</v>
      </c>
      <c r="AD59" s="29" t="s">
        <v>140</v>
      </c>
      <c r="AE59" s="29" t="str">
        <f t="shared" si="27"/>
        <v>Frenkie de Jong (m)</v>
      </c>
      <c r="AH59" s="76" t="s">
        <v>12</v>
      </c>
      <c r="AV59" s="17">
        <v>1</v>
      </c>
      <c r="AW59" s="142">
        <f>uitslag!E59</f>
        <v>0</v>
      </c>
      <c r="AX59" s="143"/>
      <c r="AY59" s="144"/>
      <c r="AZ59" s="76">
        <f>SUM(BA59:BC59)</f>
        <v>0</v>
      </c>
      <c r="BA59" s="76">
        <f>IF(AW59=0,0,IF(E59=AW59,150,0))</f>
        <v>0</v>
      </c>
      <c r="BB59" s="76">
        <f>IF(E59=0,0,IF(OR(E59=AW60),60,0))</f>
        <v>0</v>
      </c>
      <c r="BC59" s="76">
        <f>IF(E59=0,0,IF(OR(E59=AW61,E59=AW62),20,0))</f>
        <v>0</v>
      </c>
    </row>
    <row r="60" spans="1:58" x14ac:dyDescent="0.2">
      <c r="B60" s="156" t="s">
        <v>133</v>
      </c>
      <c r="C60" s="157"/>
      <c r="D60" s="158"/>
      <c r="E60" s="139"/>
      <c r="F60" s="140"/>
      <c r="G60" s="140"/>
      <c r="H60" s="140"/>
      <c r="I60" s="140"/>
      <c r="J60" s="141"/>
      <c r="Z60" s="83">
        <f>AZ60</f>
        <v>0</v>
      </c>
      <c r="AC60" s="76" t="s">
        <v>108</v>
      </c>
      <c r="AD60" s="29" t="s">
        <v>109</v>
      </c>
      <c r="AE60" s="29" t="str">
        <f t="shared" si="27"/>
        <v>Davy Klaassen (m)</v>
      </c>
      <c r="AH60" s="76" t="s">
        <v>9</v>
      </c>
      <c r="AK60" s="107" t="s">
        <v>202</v>
      </c>
      <c r="AL60" s="107"/>
      <c r="AM60" s="107" t="s">
        <v>203</v>
      </c>
      <c r="AN60" s="107"/>
      <c r="AP60" s="76" t="s">
        <v>204</v>
      </c>
      <c r="AQ60" s="76" t="s">
        <v>205</v>
      </c>
      <c r="AV60" s="17">
        <v>2</v>
      </c>
      <c r="AW60" s="142">
        <f>uitslag!E60</f>
        <v>0</v>
      </c>
      <c r="AX60" s="143"/>
      <c r="AY60" s="144"/>
      <c r="AZ60" s="76">
        <f>SUM(BA60:BC60)</f>
        <v>0</v>
      </c>
      <c r="BA60" s="76">
        <f>IF(AW60=0,0,IF(AW60=E60,80,0))</f>
        <v>0</v>
      </c>
      <c r="BB60" s="76">
        <f>IF(E60=0,0,IF(OR(E60=AW59,),60,0))</f>
        <v>0</v>
      </c>
      <c r="BC60" s="76">
        <f>IF(E60=0,0,IF(OR(E60=AW61,E60=AW62),20,0))</f>
        <v>0</v>
      </c>
    </row>
    <row r="61" spans="1:58" x14ac:dyDescent="0.2">
      <c r="B61" s="159" t="s">
        <v>117</v>
      </c>
      <c r="C61" s="160"/>
      <c r="D61" s="161"/>
      <c r="E61" s="139"/>
      <c r="F61" s="140"/>
      <c r="G61" s="140"/>
      <c r="H61" s="140"/>
      <c r="I61" s="140"/>
      <c r="J61" s="141"/>
      <c r="Z61" s="83">
        <f>AZ61</f>
        <v>0</v>
      </c>
      <c r="AC61" s="76" t="s">
        <v>108</v>
      </c>
      <c r="AD61" s="29" t="s">
        <v>144</v>
      </c>
      <c r="AE61" s="29" t="str">
        <f t="shared" si="27"/>
        <v>Marten de Roon (m)</v>
      </c>
      <c r="AH61" s="76" t="s">
        <v>37</v>
      </c>
      <c r="AK61" s="113" t="str">
        <f t="shared" ref="AK61:AK68" si="33">F43</f>
        <v xml:space="preserve"> </v>
      </c>
      <c r="AL61" s="90" t="str">
        <f t="shared" ref="AL61:AL68" si="34">IF(F43=" ","",COUNTIF($AP$61:$AP$76,F43)*5)</f>
        <v/>
      </c>
      <c r="AM61" s="114" t="str">
        <f>F51</f>
        <v>Winnaar 41</v>
      </c>
      <c r="AN61" s="90" t="str">
        <f>IF(F51="Winnaar 41","",COUNTIF($AQ$61:$AQ$68,F51)*10)</f>
        <v/>
      </c>
      <c r="AP61" s="115" t="str">
        <f>uitslag!AF61</f>
        <v xml:space="preserve"> </v>
      </c>
      <c r="AQ61" s="115" t="str">
        <f>uitslag!AH61</f>
        <v>Winnaar 41</v>
      </c>
      <c r="AV61" s="17" t="s">
        <v>119</v>
      </c>
      <c r="AW61" s="142">
        <f>uitslag!E61</f>
        <v>0</v>
      </c>
      <c r="AX61" s="143"/>
      <c r="AY61" s="144"/>
      <c r="AZ61" s="76">
        <f>SUM(BA61:BC61)</f>
        <v>0</v>
      </c>
      <c r="BA61" s="76">
        <f>IF(AW61=0,0,IF(AW61=E61,50,0))</f>
        <v>0</v>
      </c>
      <c r="BB61" s="76">
        <f>IF(E61=0,0,IF(OR(E61=AW62),50,0))</f>
        <v>0</v>
      </c>
      <c r="BC61" s="76">
        <f>IF(E61=0,0,IF(OR(E61=AW59,E61=AW60),20,0))</f>
        <v>0</v>
      </c>
    </row>
    <row r="62" spans="1:58" x14ac:dyDescent="0.2">
      <c r="B62" s="156" t="s">
        <v>117</v>
      </c>
      <c r="C62" s="157"/>
      <c r="D62" s="158"/>
      <c r="E62" s="139"/>
      <c r="F62" s="140"/>
      <c r="G62" s="140"/>
      <c r="H62" s="140"/>
      <c r="I62" s="140"/>
      <c r="J62" s="141"/>
      <c r="Z62" s="83">
        <f>AZ62</f>
        <v>0</v>
      </c>
      <c r="AC62" s="76" t="s">
        <v>108</v>
      </c>
      <c r="AD62" s="29" t="s">
        <v>110</v>
      </c>
      <c r="AE62" s="29" t="str">
        <f t="shared" si="27"/>
        <v>Georginio Wijnaldum (m)</v>
      </c>
      <c r="AH62" s="76" t="s">
        <v>16</v>
      </c>
      <c r="AK62" s="113" t="str">
        <f t="shared" si="33"/>
        <v xml:space="preserve"> </v>
      </c>
      <c r="AL62" s="90" t="str">
        <f t="shared" si="34"/>
        <v/>
      </c>
      <c r="AM62" s="114" t="str">
        <f>F52</f>
        <v>Winnaar 39</v>
      </c>
      <c r="AN62" s="90" t="str">
        <f>IF(F52="Winnaar 39","",COUNTIF($AQ$61:$AQ$68,F52)*10)</f>
        <v/>
      </c>
      <c r="AP62" s="115" t="str">
        <f>uitslag!AF62</f>
        <v xml:space="preserve"> </v>
      </c>
      <c r="AQ62" s="115" t="str">
        <f>uitslag!AH62</f>
        <v>Winnaar 39</v>
      </c>
      <c r="AV62" s="17" t="s">
        <v>119</v>
      </c>
      <c r="AW62" s="142">
        <f>uitslag!E62</f>
        <v>0</v>
      </c>
      <c r="AX62" s="143"/>
      <c r="AY62" s="144"/>
      <c r="AZ62" s="76">
        <f>SUM(BA62:BC62)</f>
        <v>0</v>
      </c>
      <c r="BA62" s="76">
        <f>IF(AW62=0,0,IF(AW62=E62,50,0))</f>
        <v>0</v>
      </c>
      <c r="BB62" s="76">
        <f>IF(E62=0,0,IF(OR(E62=AW61,),50,0))</f>
        <v>0</v>
      </c>
      <c r="BC62" s="76">
        <f>IF(E62=0,0,IF(OR(E62=AW59,E62=AW60),20,0))</f>
        <v>0</v>
      </c>
    </row>
    <row r="63" spans="1:58" ht="15.75" thickBot="1" x14ac:dyDescent="0.25">
      <c r="AC63" s="76" t="s">
        <v>108</v>
      </c>
      <c r="AD63" s="29" t="s">
        <v>220</v>
      </c>
      <c r="AE63" s="29" t="str">
        <f t="shared" si="27"/>
        <v>Teun Koopmeiners (m)</v>
      </c>
      <c r="AH63" s="76" t="s">
        <v>10</v>
      </c>
      <c r="AK63" s="113" t="str">
        <f t="shared" si="33"/>
        <v xml:space="preserve"> </v>
      </c>
      <c r="AL63" s="90" t="str">
        <f t="shared" si="34"/>
        <v/>
      </c>
      <c r="AM63" s="114" t="str">
        <f>F53</f>
        <v>Winnaar 40</v>
      </c>
      <c r="AN63" s="90" t="str">
        <f>IF(F53="Winnaar 40","",COUNTIF($AQ$61:$AQ$68,F53)*10)</f>
        <v/>
      </c>
      <c r="AP63" s="115" t="str">
        <f>uitslag!AF63</f>
        <v xml:space="preserve"> </v>
      </c>
      <c r="AQ63" s="115" t="str">
        <f>uitslag!AH63</f>
        <v>Winnaar 40</v>
      </c>
      <c r="AX63" s="116"/>
      <c r="AZ63" s="18">
        <f>SUM(AZ59:AZ62)</f>
        <v>0</v>
      </c>
    </row>
    <row r="64" spans="1:58" ht="15.75" thickTop="1" x14ac:dyDescent="0.2">
      <c r="AD64" s="29"/>
      <c r="AE64" s="29" t="str">
        <f t="shared" si="27"/>
        <v> </v>
      </c>
      <c r="AH64" s="76" t="s">
        <v>36</v>
      </c>
      <c r="AK64" s="113" t="str">
        <f t="shared" si="33"/>
        <v xml:space="preserve"> </v>
      </c>
      <c r="AL64" s="90" t="str">
        <f t="shared" si="34"/>
        <v/>
      </c>
      <c r="AM64" s="114" t="str">
        <f>F54</f>
        <v>Winnaar 43</v>
      </c>
      <c r="AN64" s="90" t="str">
        <f>IF(F54="Winnaar 43","",COUNTIF($AQ$61:$AQ$68,F54)*10)</f>
        <v/>
      </c>
      <c r="AP64" s="115" t="str">
        <f>uitslag!AF64</f>
        <v xml:space="preserve"> </v>
      </c>
      <c r="AQ64" s="115" t="str">
        <f>uitslag!AH64</f>
        <v>Winnaar 43</v>
      </c>
    </row>
    <row r="65" spans="24:43" x14ac:dyDescent="0.2">
      <c r="X65" s="117"/>
      <c r="AC65" s="76" t="s">
        <v>111</v>
      </c>
      <c r="AD65" s="29" t="s">
        <v>136</v>
      </c>
      <c r="AE65" s="29" t="str">
        <f t="shared" si="27"/>
        <v>Steven Berghuis (a)</v>
      </c>
      <c r="AH65" s="76" t="s">
        <v>51</v>
      </c>
      <c r="AK65" s="113" t="str">
        <f t="shared" si="33"/>
        <v xml:space="preserve"> </v>
      </c>
      <c r="AL65" s="90" t="str">
        <f t="shared" si="34"/>
        <v/>
      </c>
      <c r="AM65" s="114" t="str">
        <f>H51</f>
        <v>Winnaar 42</v>
      </c>
      <c r="AN65" s="90" t="str">
        <f>IF(H51="Winnaar 42","",COUNTIF($AQ$61:$AQ$68,H51)*10)</f>
        <v/>
      </c>
      <c r="AP65" s="115" t="str">
        <f>uitslag!AF65</f>
        <v xml:space="preserve"> </v>
      </c>
      <c r="AQ65" s="115" t="str">
        <f>uitslag!AH65</f>
        <v>Winnaar 42</v>
      </c>
    </row>
    <row r="66" spans="24:43" x14ac:dyDescent="0.2">
      <c r="AC66" s="76" t="s">
        <v>111</v>
      </c>
      <c r="AD66" s="29" t="s">
        <v>112</v>
      </c>
      <c r="AE66" s="29" t="str">
        <f t="shared" si="27"/>
        <v>Memphis Depay (a)</v>
      </c>
      <c r="AH66" s="76" t="s">
        <v>3</v>
      </c>
      <c r="AK66" s="113" t="str">
        <f t="shared" si="33"/>
        <v xml:space="preserve"> </v>
      </c>
      <c r="AL66" s="90" t="str">
        <f t="shared" si="34"/>
        <v/>
      </c>
      <c r="AM66" s="114" t="str">
        <f>H52</f>
        <v>Winnaar 37</v>
      </c>
      <c r="AN66" s="90" t="str">
        <f>IF(H52="Winnaar 37","",COUNTIF($AQ$61:$AQ$68,H52)*10)</f>
        <v/>
      </c>
      <c r="AP66" s="115" t="str">
        <f>uitslag!AF66</f>
        <v xml:space="preserve"> </v>
      </c>
      <c r="AQ66" s="115" t="str">
        <f>uitslag!AH66</f>
        <v>Winnaar 37</v>
      </c>
    </row>
    <row r="67" spans="24:43" x14ac:dyDescent="0.2">
      <c r="AC67" s="76" t="s">
        <v>111</v>
      </c>
      <c r="AD67" s="29" t="s">
        <v>141</v>
      </c>
      <c r="AE67" s="29" t="str">
        <f t="shared" si="27"/>
        <v>Luuk de Jong (a)</v>
      </c>
      <c r="AH67" s="76" t="s">
        <v>17</v>
      </c>
      <c r="AK67" s="113" t="str">
        <f t="shared" si="33"/>
        <v xml:space="preserve"> </v>
      </c>
      <c r="AL67" s="90" t="str">
        <f t="shared" si="34"/>
        <v/>
      </c>
      <c r="AM67" s="114" t="str">
        <f>H53</f>
        <v>Winnaar 38</v>
      </c>
      <c r="AN67" s="90" t="str">
        <f>IF(H53="Winnaar 38","",COUNTIF($AQ$61:$AQ$68,H53)*10)</f>
        <v/>
      </c>
      <c r="AP67" s="115" t="str">
        <f>uitslag!AF67</f>
        <v xml:space="preserve"> </v>
      </c>
      <c r="AQ67" s="115" t="str">
        <f>uitslag!AH67</f>
        <v>Winnaar 38</v>
      </c>
    </row>
    <row r="68" spans="24:43" x14ac:dyDescent="0.2">
      <c r="AC68" s="76" t="s">
        <v>111</v>
      </c>
      <c r="AD68" s="29" t="s">
        <v>143</v>
      </c>
      <c r="AE68" s="29" t="str">
        <f t="shared" si="27"/>
        <v>Donyell Malen (a)</v>
      </c>
      <c r="AH68" s="76" t="s">
        <v>22</v>
      </c>
      <c r="AK68" s="113" t="str">
        <f t="shared" si="33"/>
        <v xml:space="preserve"> </v>
      </c>
      <c r="AL68" s="90" t="str">
        <f t="shared" si="34"/>
        <v/>
      </c>
      <c r="AM68" s="114" t="str">
        <f>H54</f>
        <v>Winnaar 44</v>
      </c>
      <c r="AN68" s="90" t="str">
        <f>IF(H54="Winnaar 44","",COUNTIF($AQ$61:$AQ$68,H54)*10)</f>
        <v/>
      </c>
      <c r="AP68" s="115" t="str">
        <f>uitslag!AF68</f>
        <v xml:space="preserve"> </v>
      </c>
      <c r="AQ68" s="115" t="str">
        <f>uitslag!AH68</f>
        <v>Winnaar 44</v>
      </c>
    </row>
    <row r="69" spans="24:43" x14ac:dyDescent="0.2">
      <c r="AC69" s="76" t="s">
        <v>111</v>
      </c>
      <c r="AD69" s="29" t="s">
        <v>221</v>
      </c>
      <c r="AE69" s="29" t="str">
        <f t="shared" si="27"/>
        <v>Cody Gakpo (a)</v>
      </c>
      <c r="AH69" s="76" t="s">
        <v>48</v>
      </c>
      <c r="AK69" s="90" t="str">
        <f t="shared" ref="AK69:AK76" si="35">H43</f>
        <v xml:space="preserve"> </v>
      </c>
      <c r="AL69" s="90" t="str">
        <f t="shared" ref="AL69:AL76" si="36">IF(H43=" ","",COUNTIF($AP$61:$AP$76,H43)*5)</f>
        <v/>
      </c>
      <c r="AP69" s="115" t="str">
        <f>uitslag!AF69</f>
        <v xml:space="preserve"> </v>
      </c>
      <c r="AQ69" s="118"/>
    </row>
    <row r="70" spans="24:43" x14ac:dyDescent="0.2">
      <c r="AC70" s="76" t="s">
        <v>111</v>
      </c>
      <c r="AD70" s="29" t="s">
        <v>113</v>
      </c>
      <c r="AE70" s="29" t="str">
        <f t="shared" si="27"/>
        <v>Quincy Promes (a)</v>
      </c>
      <c r="AH70" s="76" t="s">
        <v>23</v>
      </c>
      <c r="AK70" s="90" t="str">
        <f t="shared" si="35"/>
        <v xml:space="preserve"> </v>
      </c>
      <c r="AL70" s="90" t="str">
        <f t="shared" si="36"/>
        <v/>
      </c>
      <c r="AP70" s="115" t="str">
        <f>uitslag!AF70</f>
        <v xml:space="preserve"> </v>
      </c>
      <c r="AQ70" s="118"/>
    </row>
    <row r="71" spans="24:43" x14ac:dyDescent="0.2">
      <c r="AC71" s="76" t="s">
        <v>111</v>
      </c>
      <c r="AD71" s="29" t="s">
        <v>149</v>
      </c>
      <c r="AE71" s="29" t="str">
        <f t="shared" si="27"/>
        <v>Wout Weghorst (a)</v>
      </c>
      <c r="AH71" s="76" t="s">
        <v>20</v>
      </c>
      <c r="AK71" s="90">
        <f t="shared" si="35"/>
        <v>0</v>
      </c>
      <c r="AL71" s="90">
        <f t="shared" si="36"/>
        <v>0</v>
      </c>
      <c r="AP71" s="115" t="str">
        <f>uitslag!AF71</f>
        <v>-</v>
      </c>
      <c r="AQ71" s="118"/>
    </row>
    <row r="72" spans="24:43" x14ac:dyDescent="0.2">
      <c r="AD72" s="29"/>
      <c r="AE72" s="29" t="str">
        <f t="shared" si="27"/>
        <v> </v>
      </c>
      <c r="AH72" s="76" t="s">
        <v>28</v>
      </c>
      <c r="AK72" s="90">
        <f t="shared" si="35"/>
        <v>0</v>
      </c>
      <c r="AL72" s="90">
        <f t="shared" si="36"/>
        <v>0</v>
      </c>
      <c r="AP72" s="115" t="str">
        <f>uitslag!AF72</f>
        <v>-</v>
      </c>
      <c r="AQ72" s="118"/>
    </row>
    <row r="73" spans="24:43" x14ac:dyDescent="0.2">
      <c r="AD73" s="29"/>
      <c r="AE73" s="29" t="str">
        <f t="shared" si="27"/>
        <v> </v>
      </c>
      <c r="AH73" s="76" t="s">
        <v>34</v>
      </c>
      <c r="AK73" s="90" t="str">
        <f t="shared" si="35"/>
        <v xml:space="preserve"> </v>
      </c>
      <c r="AL73" s="90" t="str">
        <f t="shared" si="36"/>
        <v/>
      </c>
      <c r="AP73" s="115" t="str">
        <f>uitslag!AF73</f>
        <v xml:space="preserve"> </v>
      </c>
      <c r="AQ73" s="118"/>
    </row>
    <row r="74" spans="24:43" x14ac:dyDescent="0.2">
      <c r="AD74" s="29"/>
      <c r="AE74" s="29" t="str">
        <f t="shared" si="27"/>
        <v> </v>
      </c>
      <c r="AH74" s="76" t="s">
        <v>13</v>
      </c>
      <c r="AK74" s="90">
        <f t="shared" si="35"/>
        <v>0</v>
      </c>
      <c r="AL74" s="90">
        <f t="shared" si="36"/>
        <v>0</v>
      </c>
      <c r="AP74" s="115" t="str">
        <f>uitslag!AF74</f>
        <v>-</v>
      </c>
      <c r="AQ74" s="118"/>
    </row>
    <row r="75" spans="24:43" x14ac:dyDescent="0.2">
      <c r="AD75" s="29"/>
      <c r="AE75" s="29" t="str">
        <f t="shared" si="27"/>
        <v> </v>
      </c>
      <c r="AH75" s="76" t="s">
        <v>49</v>
      </c>
      <c r="AK75" s="90" t="str">
        <f t="shared" si="35"/>
        <v xml:space="preserve"> </v>
      </c>
      <c r="AL75" s="90" t="str">
        <f t="shared" si="36"/>
        <v/>
      </c>
      <c r="AP75" s="115" t="str">
        <f>uitslag!AF75</f>
        <v xml:space="preserve"> </v>
      </c>
      <c r="AQ75" s="118"/>
    </row>
    <row r="76" spans="24:43" x14ac:dyDescent="0.2">
      <c r="AD76" s="29"/>
      <c r="AE76" s="29" t="str">
        <f t="shared" si="27"/>
        <v> </v>
      </c>
      <c r="AH76" s="76" t="s">
        <v>50</v>
      </c>
      <c r="AK76" s="90">
        <f t="shared" si="35"/>
        <v>0</v>
      </c>
      <c r="AL76" s="90">
        <f t="shared" si="36"/>
        <v>0</v>
      </c>
      <c r="AP76" s="115" t="str">
        <f>uitslag!AF76</f>
        <v>-</v>
      </c>
      <c r="AQ76" s="118"/>
    </row>
    <row r="77" spans="24:43" x14ac:dyDescent="0.2">
      <c r="AD77" s="29"/>
      <c r="AE77" s="29" t="str">
        <f t="shared" si="27"/>
        <v> </v>
      </c>
      <c r="AH77" s="76" t="s">
        <v>30</v>
      </c>
      <c r="AK77" s="76" t="s">
        <v>209</v>
      </c>
      <c r="AL77" s="119">
        <f>IFERROR(SUM(AL61:AL76),"0")</f>
        <v>0</v>
      </c>
      <c r="AM77" s="76" t="s">
        <v>209</v>
      </c>
      <c r="AN77" s="76">
        <f>SUM(AN61:AN68)</f>
        <v>0</v>
      </c>
    </row>
    <row r="78" spans="24:43" x14ac:dyDescent="0.2">
      <c r="AD78" s="29"/>
      <c r="AE78" s="29" t="str">
        <f t="shared" si="27"/>
        <v> </v>
      </c>
      <c r="AH78" s="76" t="s">
        <v>25</v>
      </c>
    </row>
    <row r="79" spans="24:43" x14ac:dyDescent="0.2">
      <c r="AD79" s="29"/>
      <c r="AE79" s="29" t="str">
        <f t="shared" si="27"/>
        <v> </v>
      </c>
      <c r="AH79" s="76" t="s">
        <v>2</v>
      </c>
    </row>
    <row r="80" spans="24:43" x14ac:dyDescent="0.2">
      <c r="AH80" s="76" t="s">
        <v>5</v>
      </c>
    </row>
    <row r="81" spans="34:34" x14ac:dyDescent="0.2">
      <c r="AH81" s="76" t="s">
        <v>31</v>
      </c>
    </row>
    <row r="82" spans="34:34" x14ac:dyDescent="0.2">
      <c r="AH82" s="76" t="s">
        <v>6</v>
      </c>
    </row>
  </sheetData>
  <sheetProtection password="F79E" sheet="1" objects="1" scenarios="1"/>
  <sortState ref="AF58:AF80">
    <sortCondition ref="AF58"/>
  </sortState>
  <mergeCells count="26">
    <mergeCell ref="B62:D62"/>
    <mergeCell ref="Q49:U49"/>
    <mergeCell ref="Q50:U50"/>
    <mergeCell ref="Q51:U51"/>
    <mergeCell ref="Q52:U52"/>
    <mergeCell ref="Q45:U45"/>
    <mergeCell ref="B59:D59"/>
    <mergeCell ref="B60:D60"/>
    <mergeCell ref="B61:D61"/>
    <mergeCell ref="Q46:U46"/>
    <mergeCell ref="E3:G3"/>
    <mergeCell ref="E62:J62"/>
    <mergeCell ref="AW59:AY59"/>
    <mergeCell ref="AW60:AY60"/>
    <mergeCell ref="AW61:AY61"/>
    <mergeCell ref="AW62:AY62"/>
    <mergeCell ref="Q53:U53"/>
    <mergeCell ref="E59:J59"/>
    <mergeCell ref="E60:J60"/>
    <mergeCell ref="E61:J61"/>
    <mergeCell ref="Q47:U47"/>
    <mergeCell ref="Q48:U48"/>
    <mergeCell ref="I6:K6"/>
    <mergeCell ref="P42:U42"/>
    <mergeCell ref="Q43:U43"/>
    <mergeCell ref="Q44:U44"/>
  </mergeCells>
  <conditionalFormatting sqref="AT7:AT10 AT13:AT16 AT19:AT22 AT37:AT40 AT31:AT34 AT25:AT28">
    <cfRule type="cellIs" dxfId="10" priority="9" operator="equal">
      <formula>10</formula>
    </cfRule>
  </conditionalFormatting>
  <conditionalFormatting sqref="Q43:U53">
    <cfRule type="duplicateValues" dxfId="9" priority="8"/>
  </conditionalFormatting>
  <conditionalFormatting sqref="Q43:U53">
    <cfRule type="duplicateValues" dxfId="8" priority="7"/>
  </conditionalFormatting>
  <conditionalFormatting sqref="U7:U10">
    <cfRule type="duplicateValues" dxfId="7" priority="6"/>
  </conditionalFormatting>
  <conditionalFormatting sqref="U13:U16">
    <cfRule type="duplicateValues" dxfId="6" priority="5"/>
  </conditionalFormatting>
  <conditionalFormatting sqref="U19:U22">
    <cfRule type="duplicateValues" dxfId="5" priority="4"/>
  </conditionalFormatting>
  <conditionalFormatting sqref="U25:U28">
    <cfRule type="duplicateValues" dxfId="4" priority="3"/>
  </conditionalFormatting>
  <conditionalFormatting sqref="U31:U34">
    <cfRule type="duplicateValues" dxfId="3" priority="2"/>
  </conditionalFormatting>
  <conditionalFormatting sqref="U37:U40">
    <cfRule type="duplicateValues" dxfId="2" priority="1"/>
  </conditionalFormatting>
  <dataValidations count="11">
    <dataValidation type="list" allowBlank="1" showInputMessage="1" showErrorMessage="1" sqref="L43:L57">
      <formula1>$BA$43:$BA$44</formula1>
    </dataValidation>
    <dataValidation type="list" allowBlank="1" showInputMessage="1" showErrorMessage="1" sqref="U7:U10">
      <formula1>$AD$7:$AD$10</formula1>
    </dataValidation>
    <dataValidation type="list" allowBlank="1" showInputMessage="1" showErrorMessage="1" sqref="U13:U16">
      <formula1>$AD$13:$AD$16</formula1>
    </dataValidation>
    <dataValidation type="list" allowBlank="1" showInputMessage="1" showErrorMessage="1" sqref="U19:U22">
      <formula1>$AD$19:$AD$22</formula1>
    </dataValidation>
    <dataValidation type="list" allowBlank="1" showInputMessage="1" showErrorMessage="1" sqref="U25:U28">
      <formula1>$AD$25:$AD$28</formula1>
    </dataValidation>
    <dataValidation type="list" allowBlank="1" showInputMessage="1" showErrorMessage="1" sqref="U31:U34">
      <formula1>$AD$31:$AD$34</formula1>
    </dataValidation>
    <dataValidation type="list" allowBlank="1" showInputMessage="1" showErrorMessage="1" sqref="U37:U40">
      <formula1>$AD$37:$AD$40</formula1>
    </dataValidation>
    <dataValidation type="list" allowBlank="1" showInputMessage="1" showErrorMessage="1" sqref="H45:H46 H48 H50">
      <formula1>$AT$44:$AT$49</formula1>
    </dataValidation>
    <dataValidation type="list" allowBlank="1" showInputMessage="1" showErrorMessage="1" sqref="E59:J62">
      <formula1>$AH$59:$AH$82</formula1>
    </dataValidation>
    <dataValidation type="list" allowBlank="1" showInputMessage="1" showErrorMessage="1" sqref="Q44:U53">
      <formula1>$AE$43:$AE$79</formula1>
    </dataValidation>
    <dataValidation type="list" allowBlank="1" showInputMessage="1" showErrorMessage="1" sqref="Q43:U43">
      <formula1>$AE$43:$AE$79</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L83"/>
  <sheetViews>
    <sheetView topLeftCell="A14" workbookViewId="0">
      <selection activeCell="F36" sqref="F36"/>
    </sheetView>
  </sheetViews>
  <sheetFormatPr defaultColWidth="11" defaultRowHeight="15" outlineLevelCol="1" x14ac:dyDescent="0.2"/>
  <cols>
    <col min="1" max="1" width="4" style="76" customWidth="1"/>
    <col min="2" max="2" width="17.875" style="76" bestFit="1" customWidth="1"/>
    <col min="3" max="3" width="11.625" style="76" bestFit="1" customWidth="1"/>
    <col min="4" max="4" width="11.625" style="76" customWidth="1"/>
    <col min="5" max="5" width="13.375" style="76" customWidth="1"/>
    <col min="6" max="6" width="17.875" style="76" bestFit="1" customWidth="1"/>
    <col min="7" max="7" width="3.625" style="76" customWidth="1"/>
    <col min="8" max="8" width="16.375" style="76" customWidth="1"/>
    <col min="9" max="10" width="3.875" style="76" customWidth="1"/>
    <col min="11" max="11" width="4.375" style="76" customWidth="1"/>
    <col min="12" max="12" width="11" style="76"/>
    <col min="13" max="14" width="10.875" style="76" hidden="1" customWidth="1" outlineLevel="1"/>
    <col min="15" max="15" width="10.875" style="76" collapsed="1"/>
    <col min="16" max="22" width="11" style="76"/>
    <col min="23" max="33" width="10.875" style="76" hidden="1" customWidth="1" outlineLevel="1"/>
    <col min="34" max="34" width="18.125" style="76" hidden="1" customWidth="1" outlineLevel="1"/>
    <col min="35" max="37" width="10.875" style="76" hidden="1" customWidth="1" outlineLevel="1"/>
    <col min="38" max="38" width="11" style="76" collapsed="1"/>
    <col min="39" max="16384" width="11" style="76"/>
  </cols>
  <sheetData>
    <row r="6" spans="1:24" ht="15.75" thickBot="1" x14ac:dyDescent="0.25">
      <c r="A6" s="11" t="s">
        <v>42</v>
      </c>
      <c r="B6" s="11" t="s">
        <v>43</v>
      </c>
      <c r="C6" s="11" t="s">
        <v>44</v>
      </c>
      <c r="D6" s="11"/>
      <c r="E6" s="11" t="s">
        <v>45</v>
      </c>
      <c r="F6" s="12" t="s">
        <v>46</v>
      </c>
      <c r="G6" s="12"/>
      <c r="H6" s="11" t="s">
        <v>47</v>
      </c>
      <c r="I6" s="148" t="s">
        <v>53</v>
      </c>
      <c r="J6" s="149"/>
      <c r="K6" s="150"/>
      <c r="L6" s="86" t="s">
        <v>54</v>
      </c>
      <c r="M6" s="89" t="s">
        <v>65</v>
      </c>
      <c r="N6" s="89" t="s">
        <v>65</v>
      </c>
      <c r="P6" s="3" t="s">
        <v>55</v>
      </c>
      <c r="Q6" s="3" t="s">
        <v>56</v>
      </c>
      <c r="R6" s="3" t="s">
        <v>57</v>
      </c>
      <c r="S6" s="3" t="s">
        <v>58</v>
      </c>
      <c r="T6" s="3" t="s">
        <v>59</v>
      </c>
      <c r="U6" s="3" t="s">
        <v>60</v>
      </c>
    </row>
    <row r="7" spans="1:24" x14ac:dyDescent="0.2">
      <c r="A7" s="1">
        <v>1</v>
      </c>
      <c r="B7" s="2">
        <v>44358.875</v>
      </c>
      <c r="C7" s="3" t="s">
        <v>0</v>
      </c>
      <c r="D7" s="3"/>
      <c r="E7" s="1" t="s">
        <v>1</v>
      </c>
      <c r="F7" s="2" t="s">
        <v>2</v>
      </c>
      <c r="G7" s="13" t="s">
        <v>52</v>
      </c>
      <c r="H7" s="1" t="s">
        <v>3</v>
      </c>
      <c r="I7" s="91"/>
      <c r="J7" s="92" t="s">
        <v>52</v>
      </c>
      <c r="K7" s="93"/>
      <c r="L7" s="94" t="str">
        <f t="shared" ref="L7:L42" si="0">IF(K7="","",IF(I7&gt;K7,1,IF(I7&lt;K7,2,3)))</f>
        <v/>
      </c>
      <c r="M7" s="98" t="str">
        <f>IF(K7="","",IF($I7&gt;$K7,3,IF($I7=$K7,1,0)))</f>
        <v/>
      </c>
      <c r="N7" s="98" t="str">
        <f>IF(K7="","",IF($I7&lt;$K7,3,IF($I7=$K7,1,0)))</f>
        <v/>
      </c>
      <c r="P7" s="95" t="s">
        <v>2</v>
      </c>
      <c r="Q7" s="96">
        <f ca="1">SUMIF($F$7:$F$42,$P7,$I$7:$I$41)+SUMIF($H$7:$H$41,$P7,$K$7:$K$41)</f>
        <v>0</v>
      </c>
      <c r="R7" s="96">
        <f>SUMIF($F$7:$F$54,$P7,$K$7:$K$54)+SUMIF($H$7:$H$54,$P7,$I$7:$I$54)</f>
        <v>0</v>
      </c>
      <c r="S7" s="96">
        <f ca="1">Q7-R7</f>
        <v>0</v>
      </c>
      <c r="T7" s="96">
        <f>SUMIF($F$7:$F$42,$P7,$M$7:$M$42)+SUMIF($H$7:$H$42,$P7,$N$7:$N$42)</f>
        <v>0</v>
      </c>
      <c r="U7" s="97"/>
      <c r="W7" s="85" t="str">
        <f>P7</f>
        <v>Turkije</v>
      </c>
      <c r="X7" s="85" t="s">
        <v>61</v>
      </c>
    </row>
    <row r="8" spans="1:24" x14ac:dyDescent="0.2">
      <c r="A8" s="1">
        <v>2</v>
      </c>
      <c r="B8" s="2">
        <v>44359.625</v>
      </c>
      <c r="C8" s="3" t="s">
        <v>0</v>
      </c>
      <c r="D8" s="3"/>
      <c r="E8" s="1" t="s">
        <v>4</v>
      </c>
      <c r="F8" s="2" t="s">
        <v>5</v>
      </c>
      <c r="G8" s="13" t="s">
        <v>52</v>
      </c>
      <c r="H8" s="1" t="s">
        <v>6</v>
      </c>
      <c r="I8" s="91"/>
      <c r="J8" s="92" t="s">
        <v>52</v>
      </c>
      <c r="K8" s="93"/>
      <c r="L8" s="94" t="str">
        <f t="shared" si="0"/>
        <v/>
      </c>
      <c r="M8" s="98" t="str">
        <f t="shared" ref="M8:M57" si="1">IF(K8="","",IF($I8&gt;$K8,3,IF($I8=$K8,1,0)))</f>
        <v/>
      </c>
      <c r="N8" s="98" t="str">
        <f t="shared" ref="N8:N57" si="2">IF(K8="","",IF($I8&lt;$K8,3,IF($I8=$K8,1,0)))</f>
        <v/>
      </c>
      <c r="P8" s="95" t="s">
        <v>3</v>
      </c>
      <c r="Q8" s="96">
        <f ca="1">SUMIF($F$7:$F$42,$P8,$I$7:$I$41)+SUMIF($H$7:$H$41,$P8,$K$7:$K$41)</f>
        <v>0</v>
      </c>
      <c r="R8" s="96">
        <f>SUMIF($F$7:$F$54,$P8,$K$7:$K$54)+SUMIF($H$7:$H$54,$P8,$I$7:$I$54)</f>
        <v>0</v>
      </c>
      <c r="S8" s="96">
        <f ca="1">Q8-R8</f>
        <v>0</v>
      </c>
      <c r="T8" s="96">
        <f t="shared" ref="T8:T9" si="3">SUMIF($F$7:$F$42,$P8,$M$7:$M$42)+SUMIF($H$7:$H$42,$P8,$N$7:$N$42)</f>
        <v>0</v>
      </c>
      <c r="U8" s="97"/>
      <c r="W8" s="85" t="str">
        <f>P8</f>
        <v>Italië</v>
      </c>
      <c r="X8" s="85" t="s">
        <v>63</v>
      </c>
    </row>
    <row r="9" spans="1:24" x14ac:dyDescent="0.2">
      <c r="A9" s="1">
        <v>3</v>
      </c>
      <c r="B9" s="2">
        <v>44359.75</v>
      </c>
      <c r="C9" s="4" t="s">
        <v>7</v>
      </c>
      <c r="D9" s="4"/>
      <c r="E9" s="1" t="s">
        <v>8</v>
      </c>
      <c r="F9" s="2" t="s">
        <v>9</v>
      </c>
      <c r="G9" s="13" t="s">
        <v>52</v>
      </c>
      <c r="H9" s="1" t="s">
        <v>10</v>
      </c>
      <c r="I9" s="91"/>
      <c r="J9" s="92" t="s">
        <v>52</v>
      </c>
      <c r="K9" s="93"/>
      <c r="L9" s="94" t="str">
        <f t="shared" si="0"/>
        <v/>
      </c>
      <c r="M9" s="98" t="str">
        <f t="shared" si="1"/>
        <v/>
      </c>
      <c r="N9" s="98" t="str">
        <f t="shared" si="2"/>
        <v/>
      </c>
      <c r="P9" s="95" t="s">
        <v>5</v>
      </c>
      <c r="Q9" s="96">
        <f ca="1">SUMIF($F$7:$F$42,$P9,$I$7:$I$41)+SUMIF($H$7:$H$41,$P9,$K$7:$K$41)</f>
        <v>0</v>
      </c>
      <c r="R9" s="96">
        <f>SUMIF($F$7:$F$54,$P9,$K$7:$K$54)+SUMIF($H$7:$H$54,$P9,$I$7:$I$54)</f>
        <v>0</v>
      </c>
      <c r="S9" s="96">
        <f ca="1">Q9-R9</f>
        <v>0</v>
      </c>
      <c r="T9" s="96">
        <f t="shared" si="3"/>
        <v>0</v>
      </c>
      <c r="U9" s="97"/>
      <c r="W9" s="85" t="str">
        <f>P9</f>
        <v>Wales</v>
      </c>
      <c r="X9" s="85" t="s">
        <v>64</v>
      </c>
    </row>
    <row r="10" spans="1:24" x14ac:dyDescent="0.2">
      <c r="A10" s="1">
        <v>4</v>
      </c>
      <c r="B10" s="2">
        <v>44359.875</v>
      </c>
      <c r="C10" s="4" t="s">
        <v>7</v>
      </c>
      <c r="D10" s="4"/>
      <c r="E10" s="1" t="s">
        <v>11</v>
      </c>
      <c r="F10" s="2" t="s">
        <v>12</v>
      </c>
      <c r="G10" s="13" t="s">
        <v>52</v>
      </c>
      <c r="H10" s="1" t="s">
        <v>13</v>
      </c>
      <c r="I10" s="91"/>
      <c r="J10" s="92" t="s">
        <v>52</v>
      </c>
      <c r="K10" s="93"/>
      <c r="L10" s="94" t="str">
        <f t="shared" si="0"/>
        <v/>
      </c>
      <c r="M10" s="98" t="str">
        <f t="shared" si="1"/>
        <v/>
      </c>
      <c r="N10" s="98" t="str">
        <f t="shared" si="2"/>
        <v/>
      </c>
      <c r="P10" s="95" t="s">
        <v>6</v>
      </c>
      <c r="Q10" s="96">
        <f ca="1">SUMIF($F$7:$F$42,$P10,$I$7:$I$41)+SUMIF($H$7:$H$41,$P10,$K$7:$K$41)</f>
        <v>0</v>
      </c>
      <c r="R10" s="96">
        <f>SUMIF($F$7:$F$54,$P10,$K$7:$K$54)+SUMIF($H$7:$H$54,$P10,$I$7:$I$54)</f>
        <v>0</v>
      </c>
      <c r="S10" s="96">
        <f ca="1">Q10-R10</f>
        <v>0</v>
      </c>
      <c r="T10" s="96">
        <f>SUMIF($F$7:$F$42,$P10,$M$7:$M$42)+SUMIF($H$7:$H$42,$P10,$N$7:$N$42)</f>
        <v>0</v>
      </c>
      <c r="U10" s="97"/>
      <c r="W10" s="85" t="str">
        <f>P10</f>
        <v>Zwitserland</v>
      </c>
      <c r="X10" s="85" t="s">
        <v>62</v>
      </c>
    </row>
    <row r="11" spans="1:24" x14ac:dyDescent="0.2">
      <c r="A11" s="1">
        <v>5</v>
      </c>
      <c r="B11" s="2">
        <v>44360.625</v>
      </c>
      <c r="C11" s="5" t="s">
        <v>14</v>
      </c>
      <c r="D11" s="5"/>
      <c r="E11" s="1" t="s">
        <v>15</v>
      </c>
      <c r="F11" s="2" t="s">
        <v>16</v>
      </c>
      <c r="G11" s="13" t="s">
        <v>52</v>
      </c>
      <c r="H11" s="1" t="s">
        <v>17</v>
      </c>
      <c r="I11" s="91"/>
      <c r="J11" s="92" t="s">
        <v>52</v>
      </c>
      <c r="K11" s="93"/>
      <c r="L11" s="94" t="str">
        <f t="shared" si="0"/>
        <v/>
      </c>
      <c r="M11" s="98" t="str">
        <f t="shared" si="1"/>
        <v/>
      </c>
      <c r="N11" s="98" t="str">
        <f t="shared" si="2"/>
        <v/>
      </c>
    </row>
    <row r="12" spans="1:24" x14ac:dyDescent="0.2">
      <c r="A12" s="1">
        <v>6</v>
      </c>
      <c r="B12" s="2">
        <v>44360.75</v>
      </c>
      <c r="C12" s="6" t="s">
        <v>18</v>
      </c>
      <c r="D12" s="6"/>
      <c r="E12" s="1" t="s">
        <v>19</v>
      </c>
      <c r="F12" s="2" t="s">
        <v>20</v>
      </c>
      <c r="G12" s="13" t="s">
        <v>52</v>
      </c>
      <c r="H12" s="1" t="s">
        <v>48</v>
      </c>
      <c r="I12" s="91"/>
      <c r="J12" s="92" t="s">
        <v>52</v>
      </c>
      <c r="K12" s="93"/>
      <c r="L12" s="94" t="str">
        <f t="shared" si="0"/>
        <v/>
      </c>
      <c r="M12" s="98" t="str">
        <f t="shared" si="1"/>
        <v/>
      </c>
      <c r="N12" s="98" t="str">
        <f t="shared" si="2"/>
        <v/>
      </c>
      <c r="P12" s="4" t="s">
        <v>66</v>
      </c>
      <c r="Q12" s="4" t="s">
        <v>56</v>
      </c>
      <c r="R12" s="4" t="s">
        <v>57</v>
      </c>
      <c r="S12" s="4" t="s">
        <v>58</v>
      </c>
      <c r="T12" s="4" t="s">
        <v>59</v>
      </c>
      <c r="U12" s="4" t="s">
        <v>60</v>
      </c>
    </row>
    <row r="13" spans="1:24" x14ac:dyDescent="0.2">
      <c r="A13" s="1">
        <v>7</v>
      </c>
      <c r="B13" s="2">
        <v>44360.875</v>
      </c>
      <c r="C13" s="6" t="s">
        <v>18</v>
      </c>
      <c r="D13" s="6"/>
      <c r="E13" s="1" t="s">
        <v>21</v>
      </c>
      <c r="F13" s="2" t="s">
        <v>22</v>
      </c>
      <c r="G13" s="13" t="s">
        <v>52</v>
      </c>
      <c r="H13" s="1" t="s">
        <v>23</v>
      </c>
      <c r="I13" s="91"/>
      <c r="J13" s="92" t="s">
        <v>52</v>
      </c>
      <c r="K13" s="93"/>
      <c r="L13" s="94" t="str">
        <f t="shared" si="0"/>
        <v/>
      </c>
      <c r="M13" s="98" t="str">
        <f t="shared" si="1"/>
        <v/>
      </c>
      <c r="N13" s="98" t="str">
        <f t="shared" si="2"/>
        <v/>
      </c>
      <c r="P13" s="95" t="s">
        <v>9</v>
      </c>
      <c r="Q13" s="96">
        <f ca="1">SUMIF($F$7:$F$42,$P13,$I$7:$I$41)+SUMIF($H$7:$H$41,$P13,$K$7:$K$41)</f>
        <v>0</v>
      </c>
      <c r="R13" s="96">
        <f>SUMIF($F$7:$F$54,$P13,$K$7:$K$54)+SUMIF($H$7:$H$54,$P13,$I$7:$I$54)</f>
        <v>0</v>
      </c>
      <c r="S13" s="96">
        <f ca="1">Q13-R13</f>
        <v>0</v>
      </c>
      <c r="T13" s="96">
        <f>SUMIF($F$7:$F$42,$P13,$M$7:$M$42)+SUMIF($H$7:$H$42,$P13,$N$7:$N$42)</f>
        <v>0</v>
      </c>
      <c r="U13" s="97"/>
      <c r="W13" s="85" t="str">
        <f>P13</f>
        <v>Denemarken</v>
      </c>
      <c r="X13" s="85" t="s">
        <v>81</v>
      </c>
    </row>
    <row r="14" spans="1:24" x14ac:dyDescent="0.2">
      <c r="A14" s="1">
        <v>8</v>
      </c>
      <c r="B14" s="2">
        <v>44361.625</v>
      </c>
      <c r="C14" s="5" t="s">
        <v>14</v>
      </c>
      <c r="D14" s="5"/>
      <c r="E14" s="1" t="s">
        <v>24</v>
      </c>
      <c r="F14" s="2" t="s">
        <v>49</v>
      </c>
      <c r="G14" s="13" t="s">
        <v>52</v>
      </c>
      <c r="H14" s="1" t="s">
        <v>25</v>
      </c>
      <c r="I14" s="91"/>
      <c r="J14" s="92" t="s">
        <v>52</v>
      </c>
      <c r="K14" s="93"/>
      <c r="L14" s="94" t="str">
        <f t="shared" si="0"/>
        <v/>
      </c>
      <c r="M14" s="98" t="str">
        <f t="shared" si="1"/>
        <v/>
      </c>
      <c r="N14" s="98" t="str">
        <f t="shared" si="2"/>
        <v/>
      </c>
      <c r="P14" s="95" t="s">
        <v>10</v>
      </c>
      <c r="Q14" s="96">
        <f ca="1">SUMIF($F$7:$F$42,$P14,$I$7:$I$41)+SUMIF($H$7:$H$41,$P14,$K$7:$K$41)</f>
        <v>0</v>
      </c>
      <c r="R14" s="96">
        <f>SUMIF($F$7:$F$54,$P14,$K$7:$K$54)+SUMIF($H$7:$H$54,$P14,$I$7:$I$54)</f>
        <v>0</v>
      </c>
      <c r="S14" s="96">
        <f ca="1">Q14-R14</f>
        <v>0</v>
      </c>
      <c r="T14" s="96">
        <f t="shared" ref="T14:T15" si="4">SUMIF($F$7:$F$42,$P14,$M$7:$M$42)+SUMIF($H$7:$H$42,$P14,$N$7:$N$42)</f>
        <v>0</v>
      </c>
      <c r="U14" s="97"/>
      <c r="W14" s="85" t="str">
        <f>P14</f>
        <v>Finland</v>
      </c>
      <c r="X14" s="85" t="s">
        <v>82</v>
      </c>
    </row>
    <row r="15" spans="1:24" x14ac:dyDescent="0.2">
      <c r="A15" s="1">
        <v>9</v>
      </c>
      <c r="B15" s="2">
        <v>44361.75</v>
      </c>
      <c r="C15" s="7" t="s">
        <v>26</v>
      </c>
      <c r="D15" s="7"/>
      <c r="E15" s="1" t="s">
        <v>27</v>
      </c>
      <c r="F15" s="2" t="s">
        <v>28</v>
      </c>
      <c r="G15" s="13" t="s">
        <v>52</v>
      </c>
      <c r="H15" s="1" t="s">
        <v>50</v>
      </c>
      <c r="I15" s="91"/>
      <c r="J15" s="92" t="s">
        <v>52</v>
      </c>
      <c r="K15" s="93"/>
      <c r="L15" s="94" t="str">
        <f t="shared" si="0"/>
        <v/>
      </c>
      <c r="M15" s="98" t="str">
        <f t="shared" si="1"/>
        <v/>
      </c>
      <c r="N15" s="98" t="str">
        <f t="shared" si="2"/>
        <v/>
      </c>
      <c r="P15" s="95" t="s">
        <v>12</v>
      </c>
      <c r="Q15" s="96">
        <f ca="1">SUMIF($F$7:$F$42,$P15,$I$7:$I$41)+SUMIF($H$7:$H$41,$P15,$K$7:$K$41)</f>
        <v>0</v>
      </c>
      <c r="R15" s="96">
        <f>SUMIF($F$7:$F$54,$P15,$K$7:$K$54)+SUMIF($H$7:$H$54,$P15,$I$7:$I$54)</f>
        <v>0</v>
      </c>
      <c r="S15" s="96">
        <f ca="1">Q15-R15</f>
        <v>0</v>
      </c>
      <c r="T15" s="96">
        <f t="shared" si="4"/>
        <v>0</v>
      </c>
      <c r="U15" s="97"/>
      <c r="W15" s="85" t="str">
        <f>P15</f>
        <v>België</v>
      </c>
      <c r="X15" s="85" t="s">
        <v>83</v>
      </c>
    </row>
    <row r="16" spans="1:24" x14ac:dyDescent="0.2">
      <c r="A16" s="1">
        <v>10</v>
      </c>
      <c r="B16" s="2">
        <v>44361.875</v>
      </c>
      <c r="C16" s="7" t="s">
        <v>26</v>
      </c>
      <c r="D16" s="7"/>
      <c r="E16" s="1" t="s">
        <v>29</v>
      </c>
      <c r="F16" s="2" t="s">
        <v>30</v>
      </c>
      <c r="G16" s="13" t="s">
        <v>52</v>
      </c>
      <c r="H16" s="1" t="s">
        <v>31</v>
      </c>
      <c r="I16" s="91"/>
      <c r="J16" s="92" t="s">
        <v>52</v>
      </c>
      <c r="K16" s="93"/>
      <c r="L16" s="94" t="str">
        <f t="shared" si="0"/>
        <v/>
      </c>
      <c r="M16" s="98" t="str">
        <f t="shared" si="1"/>
        <v/>
      </c>
      <c r="N16" s="98" t="str">
        <f t="shared" si="2"/>
        <v/>
      </c>
      <c r="P16" s="95" t="s">
        <v>13</v>
      </c>
      <c r="Q16" s="96">
        <f ca="1">SUMIF($F$7:$F$42,$P16,$I$7:$I$41)+SUMIF($H$7:$H$41,$P16,$K$7:$K$41)</f>
        <v>0</v>
      </c>
      <c r="R16" s="96">
        <f>SUMIF($F$7:$F$54,$P16,$K$7:$K$54)+SUMIF($H$7:$H$54,$P16,$I$7:$I$54)</f>
        <v>0</v>
      </c>
      <c r="S16" s="96">
        <f ca="1">Q16-R16</f>
        <v>0</v>
      </c>
      <c r="T16" s="96">
        <f>SUMIF($F$7:$F$42,$P16,$M$7:$M$42)+SUMIF($H$7:$H$42,$P16,$N$7:$N$42)</f>
        <v>0</v>
      </c>
      <c r="U16" s="97"/>
      <c r="W16" s="85" t="str">
        <f>P16</f>
        <v>Rusland</v>
      </c>
      <c r="X16" s="85" t="s">
        <v>84</v>
      </c>
    </row>
    <row r="17" spans="1:24" x14ac:dyDescent="0.2">
      <c r="A17" s="1">
        <v>11</v>
      </c>
      <c r="B17" s="2">
        <v>44362.75</v>
      </c>
      <c r="C17" s="8" t="s">
        <v>32</v>
      </c>
      <c r="D17" s="8"/>
      <c r="E17" s="1" t="s">
        <v>33</v>
      </c>
      <c r="F17" s="2" t="s">
        <v>51</v>
      </c>
      <c r="G17" s="13" t="s">
        <v>52</v>
      </c>
      <c r="H17" s="1" t="s">
        <v>34</v>
      </c>
      <c r="I17" s="91"/>
      <c r="J17" s="92" t="s">
        <v>52</v>
      </c>
      <c r="K17" s="93"/>
      <c r="L17" s="94" t="str">
        <f t="shared" si="0"/>
        <v/>
      </c>
      <c r="M17" s="98" t="str">
        <f t="shared" si="1"/>
        <v/>
      </c>
      <c r="N17" s="98" t="str">
        <f t="shared" si="2"/>
        <v/>
      </c>
    </row>
    <row r="18" spans="1:24" x14ac:dyDescent="0.2">
      <c r="A18" s="1">
        <v>12</v>
      </c>
      <c r="B18" s="2">
        <v>44362.875</v>
      </c>
      <c r="C18" s="8" t="s">
        <v>32</v>
      </c>
      <c r="D18" s="8"/>
      <c r="E18" s="1" t="s">
        <v>35</v>
      </c>
      <c r="F18" s="2" t="s">
        <v>36</v>
      </c>
      <c r="G18" s="13" t="s">
        <v>52</v>
      </c>
      <c r="H18" s="1" t="s">
        <v>37</v>
      </c>
      <c r="I18" s="91"/>
      <c r="J18" s="92" t="s">
        <v>52</v>
      </c>
      <c r="K18" s="93"/>
      <c r="L18" s="94" t="str">
        <f t="shared" si="0"/>
        <v/>
      </c>
      <c r="M18" s="98" t="str">
        <f t="shared" si="1"/>
        <v/>
      </c>
      <c r="N18" s="98" t="str">
        <f t="shared" si="2"/>
        <v/>
      </c>
      <c r="P18" s="6" t="s">
        <v>67</v>
      </c>
      <c r="Q18" s="6" t="s">
        <v>56</v>
      </c>
      <c r="R18" s="6" t="s">
        <v>57</v>
      </c>
      <c r="S18" s="6" t="s">
        <v>58</v>
      </c>
      <c r="T18" s="6" t="s">
        <v>59</v>
      </c>
      <c r="U18" s="6" t="s">
        <v>60</v>
      </c>
    </row>
    <row r="19" spans="1:24" x14ac:dyDescent="0.2">
      <c r="A19" s="1">
        <v>13</v>
      </c>
      <c r="B19" s="2">
        <v>44363.625</v>
      </c>
      <c r="C19" s="4" t="s">
        <v>7</v>
      </c>
      <c r="D19" s="4"/>
      <c r="E19" s="1" t="s">
        <v>11</v>
      </c>
      <c r="F19" s="2" t="s">
        <v>10</v>
      </c>
      <c r="G19" s="13" t="s">
        <v>52</v>
      </c>
      <c r="H19" s="1" t="s">
        <v>13</v>
      </c>
      <c r="I19" s="91"/>
      <c r="J19" s="92" t="s">
        <v>52</v>
      </c>
      <c r="K19" s="93"/>
      <c r="L19" s="94" t="str">
        <f t="shared" si="0"/>
        <v/>
      </c>
      <c r="M19" s="98" t="str">
        <f t="shared" si="1"/>
        <v/>
      </c>
      <c r="N19" s="98" t="str">
        <f t="shared" si="2"/>
        <v/>
      </c>
      <c r="P19" s="95" t="s">
        <v>20</v>
      </c>
      <c r="Q19" s="96">
        <f ca="1">SUMIF($F$7:$F$42,$P19,$I$7:$I$41)+SUMIF($H$7:$H$41,$P19,$K$7:$K$41)</f>
        <v>0</v>
      </c>
      <c r="R19" s="96">
        <f>SUMIF($F$7:$F$54,$P19,$K$7:$K$54)+SUMIF($H$7:$H$54,$P19,$I$7:$I$54)</f>
        <v>0</v>
      </c>
      <c r="S19" s="96">
        <f ca="1">Q19-R19</f>
        <v>0</v>
      </c>
      <c r="T19" s="96">
        <f>SUMIF($F$7:$F$42,$P19,$M$7:$M$42)+SUMIF($H$7:$H$42,$P19,$N$7:$N$42)</f>
        <v>0</v>
      </c>
      <c r="U19" s="97"/>
      <c r="W19" s="85" t="str">
        <f>P19</f>
        <v>Oostenrijk</v>
      </c>
      <c r="X19" s="85" t="s">
        <v>85</v>
      </c>
    </row>
    <row r="20" spans="1:24" x14ac:dyDescent="0.2">
      <c r="A20" s="1">
        <v>14</v>
      </c>
      <c r="B20" s="2">
        <v>44363.75</v>
      </c>
      <c r="C20" s="3" t="s">
        <v>0</v>
      </c>
      <c r="D20" s="3"/>
      <c r="E20" s="1" t="s">
        <v>4</v>
      </c>
      <c r="F20" s="2" t="s">
        <v>2</v>
      </c>
      <c r="G20" s="13" t="s">
        <v>52</v>
      </c>
      <c r="H20" s="1" t="s">
        <v>5</v>
      </c>
      <c r="I20" s="91"/>
      <c r="J20" s="92" t="s">
        <v>52</v>
      </c>
      <c r="K20" s="93"/>
      <c r="L20" s="94" t="str">
        <f t="shared" si="0"/>
        <v/>
      </c>
      <c r="M20" s="98" t="str">
        <f t="shared" si="1"/>
        <v/>
      </c>
      <c r="N20" s="98" t="str">
        <f t="shared" si="2"/>
        <v/>
      </c>
      <c r="P20" s="95" t="s">
        <v>48</v>
      </c>
      <c r="Q20" s="96">
        <f ca="1">SUMIF($F$7:$F$42,$P20,$I$7:$I$41)+SUMIF($H$7:$H$41,$P20,$K$7:$K$41)</f>
        <v>0</v>
      </c>
      <c r="R20" s="96">
        <f>SUMIF($F$7:$F$54,$P20,$K$7:$K$54)+SUMIF($H$7:$H$54,$P20,$I$7:$I$54)</f>
        <v>0</v>
      </c>
      <c r="S20" s="96">
        <f ca="1">Q20-R20</f>
        <v>0</v>
      </c>
      <c r="T20" s="96">
        <f t="shared" ref="T20:T21" si="5">SUMIF($F$7:$F$42,$P20,$M$7:$M$42)+SUMIF($H$7:$H$42,$P20,$N$7:$N$42)</f>
        <v>0</v>
      </c>
      <c r="U20" s="97"/>
      <c r="W20" s="85" t="str">
        <f>P20</f>
        <v>Noord-Macedonie</v>
      </c>
      <c r="X20" s="85" t="s">
        <v>86</v>
      </c>
    </row>
    <row r="21" spans="1:24" x14ac:dyDescent="0.2">
      <c r="A21" s="1">
        <v>15</v>
      </c>
      <c r="B21" s="2">
        <v>44363.875</v>
      </c>
      <c r="C21" s="3" t="s">
        <v>0</v>
      </c>
      <c r="D21" s="3"/>
      <c r="E21" s="1" t="s">
        <v>1</v>
      </c>
      <c r="F21" s="2" t="s">
        <v>3</v>
      </c>
      <c r="G21" s="13" t="s">
        <v>52</v>
      </c>
      <c r="H21" s="1" t="s">
        <v>6</v>
      </c>
      <c r="I21" s="91"/>
      <c r="J21" s="92" t="s">
        <v>52</v>
      </c>
      <c r="K21" s="93"/>
      <c r="L21" s="94" t="str">
        <f t="shared" si="0"/>
        <v/>
      </c>
      <c r="M21" s="98" t="str">
        <f t="shared" si="1"/>
        <v/>
      </c>
      <c r="N21" s="98" t="str">
        <f t="shared" si="2"/>
        <v/>
      </c>
      <c r="P21" s="95" t="s">
        <v>22</v>
      </c>
      <c r="Q21" s="96">
        <f ca="1">SUMIF($F$7:$F$42,$P21,$I$7:$I$41)+SUMIF($H$7:$H$41,$P21,$K$7:$K$41)</f>
        <v>0</v>
      </c>
      <c r="R21" s="96">
        <f>SUMIF($F$7:$F$54,$P21,$K$7:$K$54)+SUMIF($H$7:$H$54,$P21,$I$7:$I$54)</f>
        <v>0</v>
      </c>
      <c r="S21" s="96">
        <f ca="1">Q21-R21</f>
        <v>0</v>
      </c>
      <c r="T21" s="96">
        <f t="shared" si="5"/>
        <v>0</v>
      </c>
      <c r="U21" s="97"/>
      <c r="W21" s="85" t="str">
        <f>P21</f>
        <v>Nederland</v>
      </c>
      <c r="X21" s="85" t="s">
        <v>87</v>
      </c>
    </row>
    <row r="22" spans="1:24" x14ac:dyDescent="0.2">
      <c r="A22" s="1">
        <v>16</v>
      </c>
      <c r="B22" s="2">
        <v>44364.625</v>
      </c>
      <c r="C22" s="6" t="s">
        <v>18</v>
      </c>
      <c r="D22" s="6"/>
      <c r="E22" s="1" t="s">
        <v>19</v>
      </c>
      <c r="F22" s="1" t="s">
        <v>23</v>
      </c>
      <c r="G22" s="13" t="s">
        <v>52</v>
      </c>
      <c r="H22" s="1" t="s">
        <v>48</v>
      </c>
      <c r="I22" s="91"/>
      <c r="J22" s="92" t="s">
        <v>52</v>
      </c>
      <c r="K22" s="93"/>
      <c r="L22" s="94" t="str">
        <f t="shared" si="0"/>
        <v/>
      </c>
      <c r="M22" s="98" t="str">
        <f t="shared" si="1"/>
        <v/>
      </c>
      <c r="N22" s="98" t="str">
        <f t="shared" si="2"/>
        <v/>
      </c>
      <c r="P22" s="95" t="s">
        <v>23</v>
      </c>
      <c r="Q22" s="96">
        <f ca="1">SUMIF($F$7:$F$42,$P22,$I$7:$I$41)+SUMIF($H$7:$H$41,$P22,$K$7:$K$41)</f>
        <v>0</v>
      </c>
      <c r="R22" s="96">
        <f>SUMIF($F$7:$F$54,$P22,$K$7:$K$54)+SUMIF($H$7:$H$54,$P22,$I$7:$I$54)</f>
        <v>0</v>
      </c>
      <c r="S22" s="96">
        <f ca="1">Q22-R22</f>
        <v>0</v>
      </c>
      <c r="T22" s="96">
        <f>SUMIF($F$7:$F$42,$P22,$M$7:$M$42)+SUMIF($H$7:$H$42,$P22,$N$7:$N$42)</f>
        <v>0</v>
      </c>
      <c r="U22" s="97"/>
      <c r="W22" s="85" t="str">
        <f>P22</f>
        <v>Oekraïne</v>
      </c>
      <c r="X22" s="85" t="s">
        <v>88</v>
      </c>
    </row>
    <row r="23" spans="1:24" x14ac:dyDescent="0.2">
      <c r="A23" s="1">
        <v>17</v>
      </c>
      <c r="B23" s="2">
        <v>44364.75</v>
      </c>
      <c r="C23" s="4" t="s">
        <v>7</v>
      </c>
      <c r="D23" s="4"/>
      <c r="E23" s="1" t="s">
        <v>8</v>
      </c>
      <c r="F23" s="2" t="s">
        <v>9</v>
      </c>
      <c r="G23" s="13" t="s">
        <v>52</v>
      </c>
      <c r="H23" s="1" t="s">
        <v>12</v>
      </c>
      <c r="I23" s="91"/>
      <c r="J23" s="92" t="s">
        <v>52</v>
      </c>
      <c r="K23" s="93"/>
      <c r="L23" s="94" t="str">
        <f t="shared" si="0"/>
        <v/>
      </c>
      <c r="M23" s="98" t="str">
        <f t="shared" si="1"/>
        <v/>
      </c>
      <c r="N23" s="98" t="str">
        <f t="shared" si="2"/>
        <v/>
      </c>
    </row>
    <row r="24" spans="1:24" x14ac:dyDescent="0.2">
      <c r="A24" s="1">
        <v>18</v>
      </c>
      <c r="B24" s="2">
        <v>44364.875</v>
      </c>
      <c r="C24" s="6" t="s">
        <v>18</v>
      </c>
      <c r="D24" s="6"/>
      <c r="E24" s="1" t="s">
        <v>21</v>
      </c>
      <c r="F24" s="2" t="s">
        <v>22</v>
      </c>
      <c r="G24" s="13" t="s">
        <v>52</v>
      </c>
      <c r="H24" s="1" t="s">
        <v>20</v>
      </c>
      <c r="I24" s="91"/>
      <c r="J24" s="92" t="s">
        <v>52</v>
      </c>
      <c r="K24" s="93"/>
      <c r="L24" s="94" t="str">
        <f t="shared" si="0"/>
        <v/>
      </c>
      <c r="M24" s="98" t="str">
        <f t="shared" si="1"/>
        <v/>
      </c>
      <c r="N24" s="98" t="str">
        <f t="shared" si="2"/>
        <v/>
      </c>
      <c r="P24" s="5" t="s">
        <v>68</v>
      </c>
      <c r="Q24" s="5" t="s">
        <v>56</v>
      </c>
      <c r="R24" s="5" t="s">
        <v>57</v>
      </c>
      <c r="S24" s="5" t="s">
        <v>58</v>
      </c>
      <c r="T24" s="5" t="s">
        <v>59</v>
      </c>
      <c r="U24" s="5" t="s">
        <v>60</v>
      </c>
    </row>
    <row r="25" spans="1:24" x14ac:dyDescent="0.2">
      <c r="A25" s="1">
        <v>19</v>
      </c>
      <c r="B25" s="2">
        <v>44365.625</v>
      </c>
      <c r="C25" s="7" t="s">
        <v>26</v>
      </c>
      <c r="D25" s="7"/>
      <c r="E25" s="1" t="s">
        <v>27</v>
      </c>
      <c r="F25" s="2" t="s">
        <v>31</v>
      </c>
      <c r="G25" s="13" t="s">
        <v>52</v>
      </c>
      <c r="H25" s="1" t="s">
        <v>50</v>
      </c>
      <c r="I25" s="91"/>
      <c r="J25" s="92" t="s">
        <v>52</v>
      </c>
      <c r="K25" s="93"/>
      <c r="L25" s="94" t="str">
        <f t="shared" si="0"/>
        <v/>
      </c>
      <c r="M25" s="98" t="str">
        <f t="shared" si="1"/>
        <v/>
      </c>
      <c r="N25" s="98" t="str">
        <f t="shared" si="2"/>
        <v/>
      </c>
      <c r="P25" s="95" t="s">
        <v>16</v>
      </c>
      <c r="Q25" s="96">
        <f ca="1">SUMIF($F$7:$F$42,$P25,$I$7:$I$41)+SUMIF($H$7:$H$41,$P25,$K$7:$K$41)</f>
        <v>0</v>
      </c>
      <c r="R25" s="96">
        <f>SUMIF($F$7:$F$54,$P25,$K$7:$K$54)+SUMIF($H$7:$H$54,$P25,$I$7:$I$54)</f>
        <v>0</v>
      </c>
      <c r="S25" s="96">
        <f ca="1">Q25-R25</f>
        <v>0</v>
      </c>
      <c r="T25" s="96">
        <f>SUMIF($F$7:$F$42,$P25,$M$7:$M$42)+SUMIF($H$7:$H$42,$P25,$N$7:$N$42)</f>
        <v>0</v>
      </c>
      <c r="U25" s="97"/>
      <c r="W25" s="85" t="str">
        <f>P25</f>
        <v>Engeland</v>
      </c>
      <c r="X25" s="85" t="s">
        <v>89</v>
      </c>
    </row>
    <row r="26" spans="1:24" x14ac:dyDescent="0.2">
      <c r="A26" s="1">
        <v>20</v>
      </c>
      <c r="B26" s="2">
        <v>44365.75</v>
      </c>
      <c r="C26" s="5" t="s">
        <v>14</v>
      </c>
      <c r="D26" s="5"/>
      <c r="E26" s="1" t="s">
        <v>24</v>
      </c>
      <c r="F26" s="2" t="s">
        <v>17</v>
      </c>
      <c r="G26" s="13" t="s">
        <v>52</v>
      </c>
      <c r="H26" s="1" t="s">
        <v>25</v>
      </c>
      <c r="I26" s="91"/>
      <c r="J26" s="92" t="s">
        <v>52</v>
      </c>
      <c r="K26" s="93"/>
      <c r="L26" s="94" t="str">
        <f t="shared" si="0"/>
        <v/>
      </c>
      <c r="M26" s="98" t="str">
        <f t="shared" si="1"/>
        <v/>
      </c>
      <c r="N26" s="98" t="str">
        <f t="shared" si="2"/>
        <v/>
      </c>
      <c r="P26" s="1" t="s">
        <v>17</v>
      </c>
      <c r="Q26" s="96">
        <f ca="1">SUMIF($F$7:$F$42,$P26,$I$7:$I$41)+SUMIF($H$7:$H$41,$P26,$K$7:$K$41)</f>
        <v>0</v>
      </c>
      <c r="R26" s="96">
        <f>SUMIF($F$7:$F$54,$P26,$K$7:$K$54)+SUMIF($H$7:$H$54,$P26,$I$7:$I$54)</f>
        <v>0</v>
      </c>
      <c r="S26" s="96">
        <f ca="1">Q26-R26</f>
        <v>0</v>
      </c>
      <c r="T26" s="96">
        <f t="shared" ref="T26:T27" si="6">SUMIF($F$7:$F$42,$P26,$M$7:$M$42)+SUMIF($H$7:$H$42,$P26,$N$7:$N$42)</f>
        <v>0</v>
      </c>
      <c r="U26" s="97"/>
      <c r="W26" s="85" t="str">
        <f>P26</f>
        <v>Kroatië</v>
      </c>
      <c r="X26" s="85" t="s">
        <v>90</v>
      </c>
    </row>
    <row r="27" spans="1:24" x14ac:dyDescent="0.2">
      <c r="A27" s="1">
        <v>21</v>
      </c>
      <c r="B27" s="2">
        <v>44365.875</v>
      </c>
      <c r="C27" s="5" t="s">
        <v>14</v>
      </c>
      <c r="D27" s="5"/>
      <c r="E27" s="1" t="s">
        <v>15</v>
      </c>
      <c r="F27" s="2" t="s">
        <v>16</v>
      </c>
      <c r="G27" s="13" t="s">
        <v>52</v>
      </c>
      <c r="H27" s="1" t="s">
        <v>49</v>
      </c>
      <c r="I27" s="91"/>
      <c r="J27" s="92" t="s">
        <v>52</v>
      </c>
      <c r="K27" s="93"/>
      <c r="L27" s="94" t="str">
        <f t="shared" si="0"/>
        <v/>
      </c>
      <c r="M27" s="98" t="str">
        <f t="shared" si="1"/>
        <v/>
      </c>
      <c r="N27" s="98" t="str">
        <f t="shared" si="2"/>
        <v/>
      </c>
      <c r="P27" s="95" t="s">
        <v>49</v>
      </c>
      <c r="Q27" s="96">
        <f ca="1">SUMIF($F$7:$F$42,$P27,$I$7:$I$41)+SUMIF($H$7:$H$41,$P27,$K$7:$K$41)</f>
        <v>0</v>
      </c>
      <c r="R27" s="96">
        <f>SUMIF($F$7:$F$54,$P27,$K$7:$K$54)+SUMIF($H$7:$H$54,$P27,$I$7:$I$54)</f>
        <v>0</v>
      </c>
      <c r="S27" s="96">
        <f ca="1">Q27-R27</f>
        <v>0</v>
      </c>
      <c r="T27" s="96">
        <f t="shared" si="6"/>
        <v>0</v>
      </c>
      <c r="U27" s="97"/>
      <c r="W27" s="85" t="str">
        <f>P27</f>
        <v>Schotland</v>
      </c>
      <c r="X27" s="85" t="s">
        <v>91</v>
      </c>
    </row>
    <row r="28" spans="1:24" x14ac:dyDescent="0.2">
      <c r="A28" s="1">
        <v>22</v>
      </c>
      <c r="B28" s="2">
        <v>44366.625</v>
      </c>
      <c r="C28" s="8" t="s">
        <v>32</v>
      </c>
      <c r="D28" s="8"/>
      <c r="E28" s="1" t="s">
        <v>33</v>
      </c>
      <c r="F28" s="2" t="s">
        <v>51</v>
      </c>
      <c r="G28" s="13" t="s">
        <v>52</v>
      </c>
      <c r="H28" s="1" t="s">
        <v>36</v>
      </c>
      <c r="I28" s="91"/>
      <c r="J28" s="92" t="s">
        <v>52</v>
      </c>
      <c r="K28" s="93"/>
      <c r="L28" s="94" t="str">
        <f t="shared" si="0"/>
        <v/>
      </c>
      <c r="M28" s="98" t="str">
        <f t="shared" si="1"/>
        <v/>
      </c>
      <c r="N28" s="98" t="str">
        <f t="shared" si="2"/>
        <v/>
      </c>
      <c r="P28" s="95" t="s">
        <v>25</v>
      </c>
      <c r="Q28" s="96">
        <f ca="1">SUMIF($F$7:$F$42,$P28,$I$7:$I$41)+SUMIF($H$7:$H$41,$P28,$K$7:$K$41)</f>
        <v>0</v>
      </c>
      <c r="R28" s="96">
        <f>SUMIF($F$7:$F$54,$P28,$K$7:$K$54)+SUMIF($H$7:$H$54,$P28,$I$7:$I$54)</f>
        <v>0</v>
      </c>
      <c r="S28" s="96">
        <f ca="1">Q28-R28</f>
        <v>0</v>
      </c>
      <c r="T28" s="96">
        <f>SUMIF($F$7:$F$42,$P28,$M$7:$M$42)+SUMIF($H$7:$H$42,$P28,$N$7:$N$42)</f>
        <v>0</v>
      </c>
      <c r="U28" s="97"/>
      <c r="W28" s="85" t="str">
        <f>P28</f>
        <v>Tsjechië</v>
      </c>
      <c r="X28" s="85" t="s">
        <v>92</v>
      </c>
    </row>
    <row r="29" spans="1:24" x14ac:dyDescent="0.2">
      <c r="A29" s="1">
        <v>23</v>
      </c>
      <c r="B29" s="2">
        <v>44366.75</v>
      </c>
      <c r="C29" s="8" t="s">
        <v>32</v>
      </c>
      <c r="D29" s="8"/>
      <c r="E29" s="1" t="s">
        <v>35</v>
      </c>
      <c r="F29" s="2" t="s">
        <v>34</v>
      </c>
      <c r="G29" s="13" t="s">
        <v>52</v>
      </c>
      <c r="H29" s="1" t="s">
        <v>37</v>
      </c>
      <c r="I29" s="91"/>
      <c r="J29" s="92" t="s">
        <v>52</v>
      </c>
      <c r="K29" s="93"/>
      <c r="L29" s="94" t="str">
        <f t="shared" si="0"/>
        <v/>
      </c>
      <c r="M29" s="98" t="str">
        <f t="shared" si="1"/>
        <v/>
      </c>
      <c r="N29" s="98" t="str">
        <f t="shared" si="2"/>
        <v/>
      </c>
    </row>
    <row r="30" spans="1:24" x14ac:dyDescent="0.2">
      <c r="A30" s="1">
        <v>24</v>
      </c>
      <c r="B30" s="2">
        <v>44366.875</v>
      </c>
      <c r="C30" s="7" t="s">
        <v>26</v>
      </c>
      <c r="D30" s="7"/>
      <c r="E30" s="1" t="s">
        <v>29</v>
      </c>
      <c r="F30" s="2" t="s">
        <v>30</v>
      </c>
      <c r="G30" s="13" t="s">
        <v>52</v>
      </c>
      <c r="H30" s="1" t="s">
        <v>28</v>
      </c>
      <c r="I30" s="91"/>
      <c r="J30" s="92" t="s">
        <v>52</v>
      </c>
      <c r="K30" s="93"/>
      <c r="L30" s="94" t="str">
        <f t="shared" si="0"/>
        <v/>
      </c>
      <c r="M30" s="98" t="str">
        <f t="shared" si="1"/>
        <v/>
      </c>
      <c r="N30" s="98" t="str">
        <f t="shared" si="2"/>
        <v/>
      </c>
      <c r="P30" s="7" t="s">
        <v>69</v>
      </c>
      <c r="Q30" s="7" t="s">
        <v>56</v>
      </c>
      <c r="R30" s="7" t="s">
        <v>57</v>
      </c>
      <c r="S30" s="7" t="s">
        <v>58</v>
      </c>
      <c r="T30" s="7" t="s">
        <v>59</v>
      </c>
      <c r="U30" s="7" t="s">
        <v>60</v>
      </c>
    </row>
    <row r="31" spans="1:24" x14ac:dyDescent="0.2">
      <c r="A31" s="1">
        <v>25</v>
      </c>
      <c r="B31" s="2">
        <v>44367.75</v>
      </c>
      <c r="C31" s="3" t="s">
        <v>0</v>
      </c>
      <c r="D31" s="3"/>
      <c r="E31" s="1" t="s">
        <v>4</v>
      </c>
      <c r="F31" s="2" t="s">
        <v>6</v>
      </c>
      <c r="G31" s="13" t="s">
        <v>52</v>
      </c>
      <c r="H31" s="1" t="s">
        <v>2</v>
      </c>
      <c r="I31" s="91"/>
      <c r="J31" s="92" t="s">
        <v>52</v>
      </c>
      <c r="K31" s="93"/>
      <c r="L31" s="94" t="str">
        <f t="shared" si="0"/>
        <v/>
      </c>
      <c r="M31" s="98" t="str">
        <f t="shared" si="1"/>
        <v/>
      </c>
      <c r="N31" s="98" t="str">
        <f t="shared" si="2"/>
        <v/>
      </c>
      <c r="P31" s="95" t="s">
        <v>28</v>
      </c>
      <c r="Q31" s="96">
        <f ca="1">SUMIF($F$7:$F$42,$P31,$I$7:$I$41)+SUMIF($H$7:$H$41,$P31,$K$7:$K$41)</f>
        <v>0</v>
      </c>
      <c r="R31" s="96">
        <f>SUMIF($F$7:$F$54,$P31,$K$7:$K$54)+SUMIF($H$7:$H$54,$P31,$I$7:$I$54)</f>
        <v>0</v>
      </c>
      <c r="S31" s="96">
        <f ca="1">Q31-R31</f>
        <v>0</v>
      </c>
      <c r="T31" s="96">
        <f>SUMIF($F$7:$F$42,$P31,$M$7:$M$42)+SUMIF($H$7:$H$42,$P31,$N$7:$N$42)</f>
        <v>0</v>
      </c>
      <c r="U31" s="97"/>
      <c r="W31" s="85" t="str">
        <f>P31</f>
        <v>Polen</v>
      </c>
      <c r="X31" s="85" t="s">
        <v>93</v>
      </c>
    </row>
    <row r="32" spans="1:24" x14ac:dyDescent="0.2">
      <c r="A32" s="1">
        <v>26</v>
      </c>
      <c r="B32" s="2">
        <v>44367.75</v>
      </c>
      <c r="C32" s="3" t="s">
        <v>0</v>
      </c>
      <c r="D32" s="3"/>
      <c r="E32" s="1" t="s">
        <v>1</v>
      </c>
      <c r="F32" s="2" t="s">
        <v>3</v>
      </c>
      <c r="G32" s="13" t="s">
        <v>52</v>
      </c>
      <c r="H32" s="1" t="s">
        <v>5</v>
      </c>
      <c r="I32" s="91"/>
      <c r="J32" s="92" t="s">
        <v>52</v>
      </c>
      <c r="K32" s="93"/>
      <c r="L32" s="94" t="str">
        <f t="shared" si="0"/>
        <v/>
      </c>
      <c r="M32" s="98" t="str">
        <f t="shared" si="1"/>
        <v/>
      </c>
      <c r="N32" s="98" t="str">
        <f t="shared" si="2"/>
        <v/>
      </c>
      <c r="P32" s="95" t="s">
        <v>50</v>
      </c>
      <c r="Q32" s="96">
        <f ca="1">SUMIF($F$7:$F$42,$P32,$I$7:$I$41)+SUMIF($H$7:$H$41,$P32,$K$7:$K$41)</f>
        <v>0</v>
      </c>
      <c r="R32" s="96">
        <f>SUMIF($F$7:$F$54,$P32,$K$7:$K$54)+SUMIF($H$7:$H$54,$P32,$I$7:$I$54)</f>
        <v>0</v>
      </c>
      <c r="S32" s="96">
        <f ca="1">Q32-R32</f>
        <v>0</v>
      </c>
      <c r="T32" s="96">
        <f t="shared" ref="T32:T33" si="7">SUMIF($F$7:$F$42,$P32,$M$7:$M$42)+SUMIF($H$7:$H$42,$P32,$N$7:$N$42)</f>
        <v>0</v>
      </c>
      <c r="U32" s="97"/>
      <c r="W32" s="85" t="str">
        <f>P32</f>
        <v>Slowakije</v>
      </c>
      <c r="X32" s="85" t="s">
        <v>95</v>
      </c>
    </row>
    <row r="33" spans="1:33" x14ac:dyDescent="0.2">
      <c r="A33" s="1">
        <v>27</v>
      </c>
      <c r="B33" s="2">
        <v>44368.75</v>
      </c>
      <c r="C33" s="6" t="s">
        <v>18</v>
      </c>
      <c r="D33" s="6"/>
      <c r="E33" s="1" t="s">
        <v>21</v>
      </c>
      <c r="F33" s="2" t="s">
        <v>48</v>
      </c>
      <c r="G33" s="13" t="s">
        <v>52</v>
      </c>
      <c r="H33" s="1" t="s">
        <v>22</v>
      </c>
      <c r="I33" s="91"/>
      <c r="J33" s="92" t="s">
        <v>52</v>
      </c>
      <c r="K33" s="93"/>
      <c r="L33" s="94" t="str">
        <f t="shared" si="0"/>
        <v/>
      </c>
      <c r="M33" s="98" t="str">
        <f t="shared" si="1"/>
        <v/>
      </c>
      <c r="N33" s="98" t="str">
        <f t="shared" si="2"/>
        <v/>
      </c>
      <c r="P33" s="95" t="s">
        <v>30</v>
      </c>
      <c r="Q33" s="96">
        <f ca="1">SUMIF($F$7:$F$42,$P33,$I$7:$I$41)+SUMIF($H$7:$H$41,$P33,$K$7:$K$41)</f>
        <v>0</v>
      </c>
      <c r="R33" s="96">
        <f>SUMIF($F$7:$F$54,$P33,$K$7:$K$54)+SUMIF($H$7:$H$54,$P33,$I$7:$I$54)</f>
        <v>0</v>
      </c>
      <c r="S33" s="96">
        <f ca="1">Q33-R33</f>
        <v>0</v>
      </c>
      <c r="T33" s="96">
        <f t="shared" si="7"/>
        <v>0</v>
      </c>
      <c r="U33" s="97"/>
      <c r="W33" s="85" t="str">
        <f>P33</f>
        <v>Spanje</v>
      </c>
      <c r="X33" s="85" t="s">
        <v>96</v>
      </c>
    </row>
    <row r="34" spans="1:33" x14ac:dyDescent="0.2">
      <c r="A34" s="1">
        <v>28</v>
      </c>
      <c r="B34" s="2">
        <v>44368.75</v>
      </c>
      <c r="C34" s="6" t="s">
        <v>18</v>
      </c>
      <c r="D34" s="6"/>
      <c r="E34" s="1" t="s">
        <v>19</v>
      </c>
      <c r="F34" s="1" t="s">
        <v>23</v>
      </c>
      <c r="G34" s="13" t="s">
        <v>52</v>
      </c>
      <c r="H34" s="1" t="s">
        <v>20</v>
      </c>
      <c r="I34" s="91"/>
      <c r="J34" s="92" t="s">
        <v>52</v>
      </c>
      <c r="K34" s="93"/>
      <c r="L34" s="94" t="str">
        <f t="shared" si="0"/>
        <v/>
      </c>
      <c r="M34" s="98" t="str">
        <f t="shared" si="1"/>
        <v/>
      </c>
      <c r="N34" s="98" t="str">
        <f t="shared" si="2"/>
        <v/>
      </c>
      <c r="P34" s="95" t="s">
        <v>31</v>
      </c>
      <c r="Q34" s="96">
        <f ca="1">SUMIF($F$7:$F$42,$P34,$I$7:$I$41)+SUMIF($H$7:$H$41,$P34,$K$7:$K$41)</f>
        <v>0</v>
      </c>
      <c r="R34" s="96">
        <f>SUMIF($F$7:$F$54,$P34,$K$7:$K$54)+SUMIF($H$7:$H$54,$P34,$I$7:$I$54)</f>
        <v>0</v>
      </c>
      <c r="S34" s="96">
        <f ca="1">Q34-R34</f>
        <v>0</v>
      </c>
      <c r="T34" s="96">
        <f>SUMIF($F$7:$F$42,$P34,$M$7:$M$42)+SUMIF($H$7:$H$42,$P34,$N$7:$N$42)</f>
        <v>0</v>
      </c>
      <c r="U34" s="97"/>
      <c r="W34" s="85" t="str">
        <f>P34</f>
        <v>Zweden</v>
      </c>
      <c r="X34" s="85" t="s">
        <v>97</v>
      </c>
    </row>
    <row r="35" spans="1:33" x14ac:dyDescent="0.2">
      <c r="A35" s="1">
        <v>29</v>
      </c>
      <c r="B35" s="2">
        <v>44368.875</v>
      </c>
      <c r="C35" s="4" t="s">
        <v>7</v>
      </c>
      <c r="D35" s="4"/>
      <c r="E35" s="1" t="s">
        <v>8</v>
      </c>
      <c r="F35" s="2" t="s">
        <v>13</v>
      </c>
      <c r="G35" s="13" t="s">
        <v>52</v>
      </c>
      <c r="H35" s="1" t="s">
        <v>9</v>
      </c>
      <c r="I35" s="91"/>
      <c r="J35" s="92" t="s">
        <v>52</v>
      </c>
      <c r="K35" s="93"/>
      <c r="L35" s="94" t="str">
        <f t="shared" si="0"/>
        <v/>
      </c>
      <c r="M35" s="98" t="str">
        <f t="shared" si="1"/>
        <v/>
      </c>
      <c r="N35" s="98" t="str">
        <f t="shared" si="2"/>
        <v/>
      </c>
    </row>
    <row r="36" spans="1:33" x14ac:dyDescent="0.2">
      <c r="A36" s="1">
        <v>30</v>
      </c>
      <c r="B36" s="2">
        <v>44368.875</v>
      </c>
      <c r="C36" s="4" t="s">
        <v>7</v>
      </c>
      <c r="D36" s="4"/>
      <c r="E36" s="1" t="s">
        <v>11</v>
      </c>
      <c r="F36" s="2" t="s">
        <v>10</v>
      </c>
      <c r="G36" s="13" t="s">
        <v>52</v>
      </c>
      <c r="H36" s="1" t="s">
        <v>12</v>
      </c>
      <c r="I36" s="91"/>
      <c r="J36" s="92" t="s">
        <v>52</v>
      </c>
      <c r="K36" s="93"/>
      <c r="L36" s="94" t="str">
        <f t="shared" si="0"/>
        <v/>
      </c>
      <c r="M36" s="98" t="str">
        <f t="shared" si="1"/>
        <v/>
      </c>
      <c r="N36" s="98" t="str">
        <f t="shared" si="2"/>
        <v/>
      </c>
      <c r="P36" s="8" t="s">
        <v>70</v>
      </c>
      <c r="Q36" s="8" t="s">
        <v>56</v>
      </c>
      <c r="R36" s="8" t="s">
        <v>57</v>
      </c>
      <c r="S36" s="8" t="s">
        <v>58</v>
      </c>
      <c r="T36" s="8" t="s">
        <v>59</v>
      </c>
      <c r="U36" s="8" t="s">
        <v>60</v>
      </c>
    </row>
    <row r="37" spans="1:33" x14ac:dyDescent="0.2">
      <c r="A37" s="1">
        <v>31</v>
      </c>
      <c r="B37" s="2">
        <v>44369.875</v>
      </c>
      <c r="C37" s="5" t="s">
        <v>14</v>
      </c>
      <c r="D37" s="5"/>
      <c r="E37" s="1" t="s">
        <v>24</v>
      </c>
      <c r="F37" s="2" t="s">
        <v>17</v>
      </c>
      <c r="G37" s="13" t="s">
        <v>52</v>
      </c>
      <c r="H37" s="1" t="s">
        <v>49</v>
      </c>
      <c r="I37" s="91"/>
      <c r="J37" s="92" t="s">
        <v>52</v>
      </c>
      <c r="K37" s="93"/>
      <c r="L37" s="94" t="str">
        <f t="shared" si="0"/>
        <v/>
      </c>
      <c r="M37" s="98" t="str">
        <f t="shared" si="1"/>
        <v/>
      </c>
      <c r="N37" s="98" t="str">
        <f t="shared" si="2"/>
        <v/>
      </c>
      <c r="P37" s="95" t="s">
        <v>51</v>
      </c>
      <c r="Q37" s="96">
        <f ca="1">SUMIF($F$7:$F$42,$P37,$I$7:$I$41)+SUMIF($H$7:$H$41,$P37,$K$7:$K$41)</f>
        <v>0</v>
      </c>
      <c r="R37" s="96">
        <f>SUMIF($F$7:$F$54,$P37,$K$7:$K$54)+SUMIF($H$7:$H$54,$P37,$I$7:$I$54)</f>
        <v>0</v>
      </c>
      <c r="S37" s="96">
        <f ca="1">Q37-R37</f>
        <v>0</v>
      </c>
      <c r="T37" s="96">
        <f>SUMIF($F$7:$F$42,$P37,$M$7:$M$42)+SUMIF($H$7:$H$42,$P37,$N$7:$N$42)</f>
        <v>0</v>
      </c>
      <c r="U37" s="97"/>
      <c r="W37" s="85" t="str">
        <f>P37</f>
        <v>Hongarije</v>
      </c>
      <c r="X37" s="85" t="s">
        <v>94</v>
      </c>
    </row>
    <row r="38" spans="1:33" x14ac:dyDescent="0.2">
      <c r="A38" s="1">
        <v>32</v>
      </c>
      <c r="B38" s="2">
        <v>44369.875</v>
      </c>
      <c r="C38" s="5" t="s">
        <v>14</v>
      </c>
      <c r="D38" s="5"/>
      <c r="E38" s="1" t="s">
        <v>15</v>
      </c>
      <c r="F38" s="2" t="s">
        <v>25</v>
      </c>
      <c r="G38" s="13" t="s">
        <v>52</v>
      </c>
      <c r="H38" s="1" t="s">
        <v>16</v>
      </c>
      <c r="I38" s="91"/>
      <c r="J38" s="92" t="s">
        <v>52</v>
      </c>
      <c r="K38" s="93"/>
      <c r="L38" s="94" t="str">
        <f t="shared" si="0"/>
        <v/>
      </c>
      <c r="M38" s="98" t="str">
        <f t="shared" si="1"/>
        <v/>
      </c>
      <c r="N38" s="98" t="str">
        <f t="shared" si="2"/>
        <v/>
      </c>
      <c r="P38" s="95" t="s">
        <v>34</v>
      </c>
      <c r="Q38" s="96">
        <f ca="1">SUMIF($F$7:$F$42,$P38,$I$7:$I$41)+SUMIF($H$7:$H$41,$P38,$K$7:$K$41)</f>
        <v>0</v>
      </c>
      <c r="R38" s="96">
        <f>SUMIF($F$7:$F$54,$P38,$K$7:$K$54)+SUMIF($H$7:$H$54,$P38,$I$7:$I$54)</f>
        <v>0</v>
      </c>
      <c r="S38" s="96">
        <f ca="1">Q38-R38</f>
        <v>0</v>
      </c>
      <c r="T38" s="96">
        <f t="shared" ref="T38:T39" si="8">SUMIF($F$7:$F$42,$P38,$M$7:$M$42)+SUMIF($H$7:$H$42,$P38,$N$7:$N$42)</f>
        <v>0</v>
      </c>
      <c r="U38" s="97"/>
      <c r="W38" s="85" t="str">
        <f>P38</f>
        <v>Portugal</v>
      </c>
      <c r="X38" s="85" t="s">
        <v>98</v>
      </c>
    </row>
    <row r="39" spans="1:33" x14ac:dyDescent="0.2">
      <c r="A39" s="1">
        <v>33</v>
      </c>
      <c r="B39" s="2">
        <v>44370.75</v>
      </c>
      <c r="C39" s="7" t="s">
        <v>26</v>
      </c>
      <c r="D39" s="7"/>
      <c r="E39" s="1" t="s">
        <v>29</v>
      </c>
      <c r="F39" s="2" t="s">
        <v>50</v>
      </c>
      <c r="G39" s="13" t="s">
        <v>52</v>
      </c>
      <c r="H39" s="1" t="s">
        <v>30</v>
      </c>
      <c r="I39" s="91"/>
      <c r="J39" s="92" t="s">
        <v>52</v>
      </c>
      <c r="K39" s="93"/>
      <c r="L39" s="94" t="str">
        <f t="shared" si="0"/>
        <v/>
      </c>
      <c r="M39" s="98" t="str">
        <f t="shared" si="1"/>
        <v/>
      </c>
      <c r="N39" s="98" t="str">
        <f t="shared" si="2"/>
        <v/>
      </c>
      <c r="P39" s="95" t="s">
        <v>36</v>
      </c>
      <c r="Q39" s="96">
        <f ca="1">SUMIF($F$7:$F$42,$P39,$I$7:$I$41)+SUMIF($H$7:$H$41,$P39,$K$7:$K$41)</f>
        <v>0</v>
      </c>
      <c r="R39" s="96">
        <f>SUMIF($F$7:$F$54,$P39,$K$7:$K$54)+SUMIF($H$7:$H$54,$P39,$I$7:$I$54)</f>
        <v>0</v>
      </c>
      <c r="S39" s="96">
        <f ca="1">Q39-R39</f>
        <v>0</v>
      </c>
      <c r="T39" s="96">
        <f t="shared" si="8"/>
        <v>0</v>
      </c>
      <c r="U39" s="97"/>
      <c r="W39" s="85" t="str">
        <f>P39</f>
        <v>Frankrijk</v>
      </c>
      <c r="X39" s="85" t="s">
        <v>99</v>
      </c>
    </row>
    <row r="40" spans="1:33" x14ac:dyDescent="0.2">
      <c r="A40" s="1">
        <v>34</v>
      </c>
      <c r="B40" s="2">
        <v>44370.75</v>
      </c>
      <c r="C40" s="7" t="s">
        <v>26</v>
      </c>
      <c r="D40" s="7"/>
      <c r="E40" s="1" t="s">
        <v>27</v>
      </c>
      <c r="F40" s="2" t="s">
        <v>31</v>
      </c>
      <c r="G40" s="13" t="s">
        <v>52</v>
      </c>
      <c r="H40" s="1" t="s">
        <v>28</v>
      </c>
      <c r="I40" s="91"/>
      <c r="J40" s="92" t="s">
        <v>52</v>
      </c>
      <c r="K40" s="93"/>
      <c r="L40" s="94" t="str">
        <f t="shared" si="0"/>
        <v/>
      </c>
      <c r="M40" s="98" t="str">
        <f t="shared" si="1"/>
        <v/>
      </c>
      <c r="N40" s="98" t="str">
        <f t="shared" si="2"/>
        <v/>
      </c>
      <c r="P40" s="95" t="s">
        <v>37</v>
      </c>
      <c r="Q40" s="96">
        <f ca="1">SUMIF($F$7:$F$42,$P40,$I$7:$I$41)+SUMIF($H$7:$H$41,$P40,$K$7:$K$41)</f>
        <v>0</v>
      </c>
      <c r="R40" s="96">
        <f>SUMIF($F$7:$F$54,$P40,$K$7:$K$54)+SUMIF($H$7:$H$54,$P40,$I$7:$I$54)</f>
        <v>0</v>
      </c>
      <c r="S40" s="96">
        <f ca="1">Q40-R40</f>
        <v>0</v>
      </c>
      <c r="T40" s="96">
        <f>SUMIF($F$7:$F$42,$P40,$M$7:$M$42)+SUMIF($H$7:$H$42,$P40,$N$7:$N$42)</f>
        <v>0</v>
      </c>
      <c r="U40" s="97"/>
      <c r="W40" s="85" t="str">
        <f>P40</f>
        <v>Duitsland</v>
      </c>
      <c r="X40" s="85" t="s">
        <v>100</v>
      </c>
    </row>
    <row r="41" spans="1:33" x14ac:dyDescent="0.2">
      <c r="A41" s="1">
        <v>35</v>
      </c>
      <c r="B41" s="2">
        <v>44370.875</v>
      </c>
      <c r="C41" s="8" t="s">
        <v>32</v>
      </c>
      <c r="D41" s="8"/>
      <c r="E41" s="1" t="s">
        <v>33</v>
      </c>
      <c r="F41" s="2" t="s">
        <v>34</v>
      </c>
      <c r="G41" s="13" t="s">
        <v>52</v>
      </c>
      <c r="H41" s="1" t="s">
        <v>36</v>
      </c>
      <c r="I41" s="91"/>
      <c r="J41" s="92" t="s">
        <v>52</v>
      </c>
      <c r="K41" s="93"/>
      <c r="L41" s="94" t="str">
        <f t="shared" si="0"/>
        <v/>
      </c>
      <c r="M41" s="98" t="str">
        <f t="shared" si="1"/>
        <v/>
      </c>
      <c r="N41" s="98" t="str">
        <f t="shared" si="2"/>
        <v/>
      </c>
    </row>
    <row r="42" spans="1:33" ht="15.75" x14ac:dyDescent="0.25">
      <c r="A42" s="1">
        <v>36</v>
      </c>
      <c r="B42" s="2">
        <v>44370.875</v>
      </c>
      <c r="C42" s="8" t="s">
        <v>32</v>
      </c>
      <c r="D42" s="8"/>
      <c r="E42" s="1" t="s">
        <v>35</v>
      </c>
      <c r="F42" s="2" t="s">
        <v>37</v>
      </c>
      <c r="G42" s="13" t="s">
        <v>52</v>
      </c>
      <c r="H42" s="1" t="s">
        <v>51</v>
      </c>
      <c r="I42" s="91"/>
      <c r="J42" s="92" t="s">
        <v>52</v>
      </c>
      <c r="K42" s="93"/>
      <c r="L42" s="94" t="str">
        <f t="shared" si="0"/>
        <v/>
      </c>
      <c r="M42" s="98" t="str">
        <f t="shared" si="1"/>
        <v/>
      </c>
      <c r="N42" s="98" t="str">
        <f t="shared" si="2"/>
        <v/>
      </c>
      <c r="P42" s="151" t="s">
        <v>101</v>
      </c>
      <c r="Q42" s="152"/>
      <c r="R42" s="152"/>
      <c r="S42" s="152"/>
      <c r="T42" s="152"/>
      <c r="U42" s="152"/>
    </row>
    <row r="43" spans="1:33" x14ac:dyDescent="0.2">
      <c r="A43" s="1">
        <v>38</v>
      </c>
      <c r="B43" s="2">
        <v>44373.75</v>
      </c>
      <c r="C43" s="9" t="s">
        <v>38</v>
      </c>
      <c r="D43" s="9" t="s">
        <v>193</v>
      </c>
      <c r="E43" s="1" t="s">
        <v>21</v>
      </c>
      <c r="F43" s="62" t="str">
        <f>AF43</f>
        <v xml:space="preserve"> </v>
      </c>
      <c r="G43" s="13" t="s">
        <v>52</v>
      </c>
      <c r="H43" s="63" t="str">
        <f>AG43</f>
        <v xml:space="preserve"> </v>
      </c>
      <c r="I43" s="91"/>
      <c r="J43" s="92" t="s">
        <v>52</v>
      </c>
      <c r="K43" s="93"/>
      <c r="L43" s="102"/>
      <c r="M43" s="98" t="str">
        <f t="shared" si="1"/>
        <v/>
      </c>
      <c r="N43" s="98" t="str">
        <f t="shared" si="2"/>
        <v/>
      </c>
      <c r="P43" s="103">
        <v>1</v>
      </c>
      <c r="Q43" s="145"/>
      <c r="R43" s="145"/>
      <c r="S43" s="145"/>
      <c r="T43" s="145"/>
      <c r="U43" s="146"/>
      <c r="W43" s="76" t="s">
        <v>102</v>
      </c>
      <c r="X43" s="30" t="s">
        <v>103</v>
      </c>
      <c r="Y43" s="29" t="str">
        <f t="shared" ref="Y43:Y71" si="9">CONCATENATE(X43," ",W43)</f>
        <v>Jasper Cillessen (k)</v>
      </c>
      <c r="AA43" s="76">
        <v>1</v>
      </c>
      <c r="AC43" s="9" t="s">
        <v>193</v>
      </c>
      <c r="AD43" s="90" t="s">
        <v>63</v>
      </c>
      <c r="AE43" s="90" t="s">
        <v>82</v>
      </c>
      <c r="AF43" s="90" t="str">
        <f>IF(U7=""," ",VLOOKUP(AD43,$U$7:$W$40,3,FALSE))</f>
        <v xml:space="preserve"> </v>
      </c>
      <c r="AG43" s="90" t="str">
        <f>IF(U13=""," ",VLOOKUP(AE43,$U$7:$W$40,3,FALSE))</f>
        <v xml:space="preserve"> </v>
      </c>
    </row>
    <row r="44" spans="1:33" x14ac:dyDescent="0.2">
      <c r="A44" s="1">
        <v>37</v>
      </c>
      <c r="B44" s="2">
        <v>44373.875</v>
      </c>
      <c r="C44" s="9" t="s">
        <v>38</v>
      </c>
      <c r="D44" s="9" t="s">
        <v>194</v>
      </c>
      <c r="E44" s="1" t="s">
        <v>15</v>
      </c>
      <c r="F44" s="62" t="str">
        <f>AF44</f>
        <v xml:space="preserve"> </v>
      </c>
      <c r="G44" s="13" t="s">
        <v>52</v>
      </c>
      <c r="H44" s="63" t="str">
        <f t="shared" ref="H44:H49" si="10">AG44</f>
        <v xml:space="preserve"> </v>
      </c>
      <c r="I44" s="91"/>
      <c r="J44" s="92" t="s">
        <v>52</v>
      </c>
      <c r="K44" s="93"/>
      <c r="L44" s="102"/>
      <c r="M44" s="98" t="str">
        <f t="shared" si="1"/>
        <v/>
      </c>
      <c r="N44" s="98" t="str">
        <f t="shared" si="2"/>
        <v/>
      </c>
      <c r="P44" s="103">
        <v>2</v>
      </c>
      <c r="Q44" s="145"/>
      <c r="R44" s="145"/>
      <c r="S44" s="145"/>
      <c r="T44" s="145"/>
      <c r="U44" s="146"/>
      <c r="W44" s="76" t="s">
        <v>102</v>
      </c>
      <c r="X44" s="30" t="s">
        <v>104</v>
      </c>
      <c r="Y44" s="29" t="str">
        <f t="shared" si="9"/>
        <v>Tim Krul (k)</v>
      </c>
      <c r="AA44" s="76">
        <v>2</v>
      </c>
      <c r="AC44" s="9" t="s">
        <v>194</v>
      </c>
      <c r="AD44" s="90" t="s">
        <v>61</v>
      </c>
      <c r="AE44" s="90" t="s">
        <v>86</v>
      </c>
      <c r="AF44" s="90" t="str">
        <f>IF(U8=""," ",VLOOKUP(AD44,$U$7:$W$40,3,FALSE))</f>
        <v xml:space="preserve"> </v>
      </c>
      <c r="AG44" s="90" t="str">
        <f>IF(U19=""," ",VLOOKUP(AE44,$U$7:$W$40,3,FALSE))</f>
        <v xml:space="preserve"> </v>
      </c>
    </row>
    <row r="45" spans="1:33" x14ac:dyDescent="0.2">
      <c r="A45" s="1">
        <v>40</v>
      </c>
      <c r="B45" s="2">
        <v>44374.75</v>
      </c>
      <c r="C45" s="9" t="s">
        <v>38</v>
      </c>
      <c r="D45" s="9" t="s">
        <v>216</v>
      </c>
      <c r="E45" s="1" t="s">
        <v>33</v>
      </c>
      <c r="F45" s="62" t="str">
        <f t="shared" ref="F45:F50" si="11">AF45</f>
        <v xml:space="preserve"> </v>
      </c>
      <c r="G45" s="13" t="s">
        <v>52</v>
      </c>
      <c r="H45" s="63" t="s">
        <v>52</v>
      </c>
      <c r="I45" s="91"/>
      <c r="J45" s="92" t="s">
        <v>52</v>
      </c>
      <c r="K45" s="93"/>
      <c r="L45" s="102"/>
      <c r="M45" s="98" t="str">
        <f t="shared" si="1"/>
        <v/>
      </c>
      <c r="N45" s="98" t="str">
        <f t="shared" si="2"/>
        <v/>
      </c>
      <c r="P45" s="103">
        <v>3</v>
      </c>
      <c r="Q45" s="145"/>
      <c r="R45" s="145"/>
      <c r="S45" s="145"/>
      <c r="T45" s="145"/>
      <c r="U45" s="146"/>
      <c r="W45" s="76" t="s">
        <v>102</v>
      </c>
      <c r="X45" s="30" t="s">
        <v>105</v>
      </c>
      <c r="Y45" s="29" t="str">
        <f t="shared" si="9"/>
        <v>Maarten Stekelenburg (k)</v>
      </c>
      <c r="AC45" s="9" t="s">
        <v>195</v>
      </c>
      <c r="AD45" s="90" t="s">
        <v>85</v>
      </c>
      <c r="AE45" s="90"/>
      <c r="AF45" s="90" t="str">
        <f>IF(U19=""," ",VLOOKUP(AD45,$U$7:$W$40,3,FALSE))</f>
        <v xml:space="preserve"> </v>
      </c>
      <c r="AG45" s="90"/>
    </row>
    <row r="46" spans="1:33" x14ac:dyDescent="0.2">
      <c r="A46" s="1">
        <v>39</v>
      </c>
      <c r="B46" s="2">
        <v>44374.875</v>
      </c>
      <c r="C46" s="9" t="s">
        <v>38</v>
      </c>
      <c r="D46" s="9" t="s">
        <v>196</v>
      </c>
      <c r="E46" s="1" t="s">
        <v>29</v>
      </c>
      <c r="F46" s="62" t="str">
        <f t="shared" si="11"/>
        <v xml:space="preserve"> </v>
      </c>
      <c r="G46" s="13" t="s">
        <v>52</v>
      </c>
      <c r="H46" s="63" t="s">
        <v>52</v>
      </c>
      <c r="I46" s="91"/>
      <c r="J46" s="92" t="s">
        <v>52</v>
      </c>
      <c r="K46" s="93"/>
      <c r="L46" s="102"/>
      <c r="M46" s="98" t="str">
        <f t="shared" si="1"/>
        <v/>
      </c>
      <c r="N46" s="98" t="str">
        <f t="shared" si="2"/>
        <v/>
      </c>
      <c r="P46" s="103">
        <v>4</v>
      </c>
      <c r="Q46" s="145"/>
      <c r="R46" s="145"/>
      <c r="S46" s="145"/>
      <c r="T46" s="145"/>
      <c r="U46" s="146"/>
      <c r="W46" s="76" t="s">
        <v>102</v>
      </c>
      <c r="X46" s="30" t="s">
        <v>147</v>
      </c>
      <c r="Y46" s="29" t="str">
        <f t="shared" si="9"/>
        <v>Marco Bizot (k)</v>
      </c>
      <c r="AC46" s="9" t="s">
        <v>196</v>
      </c>
      <c r="AD46" s="90" t="s">
        <v>81</v>
      </c>
      <c r="AE46" s="90"/>
      <c r="AF46" s="90" t="str">
        <f>IF(U13=""," ",VLOOKUP(AD46,$U$7:$W$40,3,FALSE))</f>
        <v xml:space="preserve"> </v>
      </c>
      <c r="AG46" s="90"/>
    </row>
    <row r="47" spans="1:33" x14ac:dyDescent="0.2">
      <c r="A47" s="1">
        <v>42</v>
      </c>
      <c r="B47" s="2">
        <v>44375.75</v>
      </c>
      <c r="C47" s="9" t="s">
        <v>38</v>
      </c>
      <c r="D47" s="9" t="s">
        <v>201</v>
      </c>
      <c r="E47" s="1" t="s">
        <v>8</v>
      </c>
      <c r="F47" s="62" t="str">
        <f t="shared" si="11"/>
        <v xml:space="preserve"> </v>
      </c>
      <c r="G47" s="13" t="s">
        <v>52</v>
      </c>
      <c r="H47" s="63" t="str">
        <f t="shared" si="10"/>
        <v xml:space="preserve"> </v>
      </c>
      <c r="I47" s="91"/>
      <c r="J47" s="92" t="s">
        <v>52</v>
      </c>
      <c r="K47" s="93"/>
      <c r="L47" s="102"/>
      <c r="M47" s="98" t="str">
        <f t="shared" si="1"/>
        <v/>
      </c>
      <c r="N47" s="98" t="str">
        <f t="shared" si="2"/>
        <v/>
      </c>
      <c r="P47" s="103">
        <v>5</v>
      </c>
      <c r="Q47" s="145"/>
      <c r="R47" s="145"/>
      <c r="S47" s="145"/>
      <c r="T47" s="145"/>
      <c r="U47" s="146"/>
      <c r="W47" s="76" t="s">
        <v>106</v>
      </c>
      <c r="X47" s="29" t="s">
        <v>134</v>
      </c>
      <c r="Y47" s="29" t="str">
        <f t="shared" si="9"/>
        <v>Patrick van Aanholt (v)</v>
      </c>
      <c r="AC47" s="9" t="s">
        <v>201</v>
      </c>
      <c r="AD47" s="90" t="s">
        <v>90</v>
      </c>
      <c r="AE47" s="90" t="s">
        <v>95</v>
      </c>
      <c r="AF47" s="90" t="str">
        <f>IF(U25=""," ",VLOOKUP(AD47,$U$7:$W$40,3,FALSE))</f>
        <v xml:space="preserve"> </v>
      </c>
      <c r="AG47" s="90" t="str">
        <f>IF(U31=""," ",VLOOKUP(AE47,$U$7:$W$40,3,FALSE))</f>
        <v xml:space="preserve"> </v>
      </c>
    </row>
    <row r="48" spans="1:33" x14ac:dyDescent="0.2">
      <c r="A48" s="1">
        <v>41</v>
      </c>
      <c r="B48" s="2">
        <v>44375.875</v>
      </c>
      <c r="C48" s="9" t="s">
        <v>38</v>
      </c>
      <c r="D48" s="9" t="s">
        <v>198</v>
      </c>
      <c r="E48" s="1" t="s">
        <v>19</v>
      </c>
      <c r="F48" s="62" t="str">
        <f t="shared" si="11"/>
        <v xml:space="preserve"> </v>
      </c>
      <c r="G48" s="13" t="s">
        <v>52</v>
      </c>
      <c r="H48" s="63" t="s">
        <v>52</v>
      </c>
      <c r="I48" s="91"/>
      <c r="J48" s="92" t="s">
        <v>52</v>
      </c>
      <c r="K48" s="93"/>
      <c r="L48" s="102"/>
      <c r="M48" s="98" t="str">
        <f t="shared" si="1"/>
        <v/>
      </c>
      <c r="N48" s="98" t="str">
        <f t="shared" si="2"/>
        <v/>
      </c>
      <c r="P48" s="103">
        <v>6</v>
      </c>
      <c r="Q48" s="145"/>
      <c r="R48" s="145"/>
      <c r="S48" s="145"/>
      <c r="T48" s="145"/>
      <c r="U48" s="146"/>
      <c r="W48" s="76" t="s">
        <v>106</v>
      </c>
      <c r="X48" s="29" t="s">
        <v>107</v>
      </c>
      <c r="Y48" s="29" t="str">
        <f t="shared" si="9"/>
        <v>Daley Blind (v)</v>
      </c>
      <c r="AC48" s="9" t="s">
        <v>198</v>
      </c>
      <c r="AD48" s="90" t="s">
        <v>94</v>
      </c>
      <c r="AE48" s="90"/>
      <c r="AF48" s="90" t="str">
        <f>IF(U37=""," ",VLOOKUP(AD48,$U$7:$W$40,3,FALSE))</f>
        <v xml:space="preserve"> </v>
      </c>
      <c r="AG48" s="90"/>
    </row>
    <row r="49" spans="1:35" x14ac:dyDescent="0.2">
      <c r="A49" s="1">
        <v>44</v>
      </c>
      <c r="B49" s="2">
        <v>44376.75</v>
      </c>
      <c r="C49" s="9" t="s">
        <v>38</v>
      </c>
      <c r="D49" s="9" t="s">
        <v>199</v>
      </c>
      <c r="E49" s="1" t="s">
        <v>27</v>
      </c>
      <c r="F49" s="62" t="str">
        <f t="shared" si="11"/>
        <v xml:space="preserve"> </v>
      </c>
      <c r="G49" s="13" t="s">
        <v>52</v>
      </c>
      <c r="H49" s="63" t="str">
        <f t="shared" si="10"/>
        <v xml:space="preserve"> </v>
      </c>
      <c r="I49" s="91"/>
      <c r="J49" s="92" t="s">
        <v>52</v>
      </c>
      <c r="K49" s="93"/>
      <c r="L49" s="102"/>
      <c r="M49" s="98" t="str">
        <f t="shared" si="1"/>
        <v/>
      </c>
      <c r="N49" s="98" t="str">
        <f t="shared" si="2"/>
        <v/>
      </c>
      <c r="P49" s="103">
        <v>7</v>
      </c>
      <c r="Q49" s="145"/>
      <c r="R49" s="145"/>
      <c r="S49" s="145"/>
      <c r="T49" s="145"/>
      <c r="U49" s="146"/>
      <c r="W49" s="76" t="s">
        <v>106</v>
      </c>
      <c r="X49" s="29" t="s">
        <v>138</v>
      </c>
      <c r="Y49" s="29" t="str">
        <f t="shared" si="9"/>
        <v>Danzel Dumfries (v)</v>
      </c>
      <c r="AC49" s="9" t="s">
        <v>199</v>
      </c>
      <c r="AD49" s="90" t="s">
        <v>89</v>
      </c>
      <c r="AE49" s="90" t="s">
        <v>98</v>
      </c>
      <c r="AF49" s="90" t="str">
        <f>IF(U25=""," ",VLOOKUP(AD49,$U$7:$W$40,3,FALSE))</f>
        <v xml:space="preserve"> </v>
      </c>
      <c r="AG49" s="90" t="str">
        <f>IF(U37=""," ",VLOOKUP(AE49,$U$7:$W$40,3,FALSE))</f>
        <v xml:space="preserve"> </v>
      </c>
    </row>
    <row r="50" spans="1:35" x14ac:dyDescent="0.2">
      <c r="A50" s="1">
        <v>43</v>
      </c>
      <c r="B50" s="2">
        <v>44376.875</v>
      </c>
      <c r="C50" s="9" t="s">
        <v>38</v>
      </c>
      <c r="D50" s="9" t="s">
        <v>200</v>
      </c>
      <c r="E50" s="1" t="s">
        <v>24</v>
      </c>
      <c r="F50" s="62" t="str">
        <f t="shared" si="11"/>
        <v xml:space="preserve"> </v>
      </c>
      <c r="G50" s="13" t="s">
        <v>52</v>
      </c>
      <c r="H50" s="63" t="s">
        <v>52</v>
      </c>
      <c r="I50" s="91"/>
      <c r="J50" s="92" t="s">
        <v>52</v>
      </c>
      <c r="K50" s="93"/>
      <c r="L50" s="102"/>
      <c r="M50" s="98" t="str">
        <f t="shared" si="1"/>
        <v/>
      </c>
      <c r="N50" s="98" t="str">
        <f t="shared" si="2"/>
        <v/>
      </c>
      <c r="P50" s="103">
        <v>8</v>
      </c>
      <c r="Q50" s="145"/>
      <c r="R50" s="145"/>
      <c r="S50" s="145"/>
      <c r="T50" s="145"/>
      <c r="U50" s="146"/>
      <c r="W50" s="76" t="s">
        <v>106</v>
      </c>
      <c r="X50" s="29" t="s">
        <v>142</v>
      </c>
      <c r="Y50" s="29" t="str">
        <f t="shared" si="9"/>
        <v>Matthijs de Ligt (v)</v>
      </c>
      <c r="AC50" s="9" t="s">
        <v>200</v>
      </c>
      <c r="AD50" s="90" t="s">
        <v>93</v>
      </c>
      <c r="AE50" s="90"/>
      <c r="AF50" s="90" t="str">
        <f>IF(U31=""," ",VLOOKUP(AD50,$U$7:$W$40,3,FALSE))</f>
        <v xml:space="preserve"> </v>
      </c>
      <c r="AG50" s="90"/>
    </row>
    <row r="51" spans="1:35" x14ac:dyDescent="0.2">
      <c r="A51" s="1">
        <v>45</v>
      </c>
      <c r="B51" s="2">
        <v>44379.75</v>
      </c>
      <c r="C51" s="32" t="s">
        <v>39</v>
      </c>
      <c r="D51" s="32" t="s">
        <v>187</v>
      </c>
      <c r="E51" s="1" t="s">
        <v>11</v>
      </c>
      <c r="F51" s="62" t="str">
        <f>IF(L48="","Winnaar 41",IF(L48=1,F48,H48))</f>
        <v>Winnaar 41</v>
      </c>
      <c r="G51" s="13" t="s">
        <v>52</v>
      </c>
      <c r="H51" s="63" t="str">
        <f>IF(L47="","Winnaar 42",IF(L47=1,F47,H47))</f>
        <v>Winnaar 42</v>
      </c>
      <c r="I51" s="91"/>
      <c r="J51" s="92" t="s">
        <v>52</v>
      </c>
      <c r="K51" s="93"/>
      <c r="L51" s="102"/>
      <c r="M51" s="98" t="str">
        <f t="shared" si="1"/>
        <v/>
      </c>
      <c r="N51" s="98" t="str">
        <f t="shared" si="2"/>
        <v/>
      </c>
      <c r="P51" s="103">
        <v>9</v>
      </c>
      <c r="Q51" s="145"/>
      <c r="R51" s="145"/>
      <c r="S51" s="145"/>
      <c r="T51" s="145"/>
      <c r="U51" s="146"/>
      <c r="W51" s="76" t="s">
        <v>106</v>
      </c>
      <c r="X51" s="29" t="s">
        <v>145</v>
      </c>
      <c r="Y51" s="29" t="str">
        <f t="shared" si="9"/>
        <v>Joel Veltman (v)</v>
      </c>
      <c r="AC51" s="68" t="s">
        <v>52</v>
      </c>
    </row>
    <row r="52" spans="1:35" x14ac:dyDescent="0.2">
      <c r="A52" s="1">
        <v>46</v>
      </c>
      <c r="B52" s="2">
        <v>44379.875</v>
      </c>
      <c r="C52" s="32" t="s">
        <v>39</v>
      </c>
      <c r="D52" s="32" t="s">
        <v>188</v>
      </c>
      <c r="E52" s="1" t="s">
        <v>35</v>
      </c>
      <c r="F52" s="62" t="str">
        <f>IF(L46="","Winnaar 39",IF(L46=1,F46,H46))</f>
        <v>Winnaar 39</v>
      </c>
      <c r="G52" s="13" t="s">
        <v>52</v>
      </c>
      <c r="H52" s="63" t="str">
        <f>IF(L44="","Winnaar 37",IF(L44=1,F44,H44))</f>
        <v>Winnaar 37</v>
      </c>
      <c r="I52" s="91"/>
      <c r="J52" s="92" t="s">
        <v>52</v>
      </c>
      <c r="K52" s="93"/>
      <c r="L52" s="102"/>
      <c r="M52" s="98" t="str">
        <f t="shared" si="1"/>
        <v/>
      </c>
      <c r="N52" s="98" t="str">
        <f t="shared" si="2"/>
        <v/>
      </c>
      <c r="P52" s="103">
        <v>10</v>
      </c>
      <c r="Q52" s="145"/>
      <c r="R52" s="145"/>
      <c r="S52" s="145"/>
      <c r="T52" s="145"/>
      <c r="U52" s="146"/>
      <c r="W52" s="76" t="s">
        <v>106</v>
      </c>
      <c r="X52" s="29" t="s">
        <v>146</v>
      </c>
      <c r="Y52" s="29" t="str">
        <f t="shared" si="9"/>
        <v>Owen Wijndal (v)</v>
      </c>
      <c r="AB52" s="76" t="s">
        <v>64</v>
      </c>
      <c r="AC52" s="76" t="str">
        <f>IF(U7=""," ",VLOOKUP(AB52,$U$7:$W$40,3,FALSE))</f>
        <v xml:space="preserve"> </v>
      </c>
    </row>
    <row r="53" spans="1:35" x14ac:dyDescent="0.2">
      <c r="A53" s="1">
        <v>47</v>
      </c>
      <c r="B53" s="2">
        <v>44380.75</v>
      </c>
      <c r="C53" s="32" t="s">
        <v>39</v>
      </c>
      <c r="D53" s="32" t="s">
        <v>189</v>
      </c>
      <c r="E53" s="1" t="s">
        <v>4</v>
      </c>
      <c r="F53" s="62" t="str">
        <f>IF(L45="","Winnaar 40",IF(L45=1,F45,H45))</f>
        <v>Winnaar 40</v>
      </c>
      <c r="G53" s="13" t="s">
        <v>52</v>
      </c>
      <c r="H53" s="63" t="str">
        <f>IF(L43="","Winnaar 38",IF(L43=1,F43,H43))</f>
        <v>Winnaar 38</v>
      </c>
      <c r="I53" s="91"/>
      <c r="J53" s="92" t="s">
        <v>52</v>
      </c>
      <c r="K53" s="93"/>
      <c r="L53" s="102"/>
      <c r="M53" s="98" t="str">
        <f t="shared" si="1"/>
        <v/>
      </c>
      <c r="N53" s="98" t="str">
        <f t="shared" si="2"/>
        <v/>
      </c>
      <c r="P53" s="103">
        <v>11</v>
      </c>
      <c r="Q53" s="145"/>
      <c r="R53" s="145"/>
      <c r="S53" s="145"/>
      <c r="T53" s="145"/>
      <c r="U53" s="146"/>
      <c r="W53" s="76" t="s">
        <v>106</v>
      </c>
      <c r="X53" s="29" t="s">
        <v>148</v>
      </c>
      <c r="Y53" s="29" t="str">
        <f t="shared" si="9"/>
        <v>Steven de Vrij (v)</v>
      </c>
      <c r="AB53" s="76" t="s">
        <v>83</v>
      </c>
      <c r="AC53" s="76" t="str">
        <f>IF(U13=""," ",VLOOKUP(AB53,$U$7:$W$40,3,FALSE))</f>
        <v xml:space="preserve"> </v>
      </c>
    </row>
    <row r="54" spans="1:35" x14ac:dyDescent="0.2">
      <c r="A54" s="1">
        <v>48</v>
      </c>
      <c r="B54" s="2">
        <v>44380.875</v>
      </c>
      <c r="C54" s="32" t="s">
        <v>39</v>
      </c>
      <c r="D54" s="32" t="s">
        <v>190</v>
      </c>
      <c r="E54" s="1" t="s">
        <v>1</v>
      </c>
      <c r="F54" s="62" t="str">
        <f>IF(L50="","Winnaar 43",IF(L50=1,F50,H50))</f>
        <v>Winnaar 43</v>
      </c>
      <c r="G54" s="13" t="s">
        <v>52</v>
      </c>
      <c r="H54" s="63" t="str">
        <f>IF(L49="","Winnaar 44",IF(L49=1,F49,H49))</f>
        <v>Winnaar 44</v>
      </c>
      <c r="I54" s="91"/>
      <c r="J54" s="92" t="s">
        <v>52</v>
      </c>
      <c r="K54" s="93"/>
      <c r="L54" s="102"/>
      <c r="M54" s="98" t="str">
        <f t="shared" si="1"/>
        <v/>
      </c>
      <c r="N54" s="98" t="str">
        <f t="shared" si="2"/>
        <v/>
      </c>
      <c r="W54" s="76" t="s">
        <v>106</v>
      </c>
      <c r="X54" s="29" t="s">
        <v>218</v>
      </c>
      <c r="Y54" s="29" t="str">
        <f t="shared" si="9"/>
        <v>Nathan Ake (v)</v>
      </c>
      <c r="AB54" s="76" t="s">
        <v>87</v>
      </c>
      <c r="AC54" s="76" t="str">
        <f>IF(U19=""," ",VLOOKUP(AB54,$U$7:$W$40,3,FALSE))</f>
        <v xml:space="preserve"> </v>
      </c>
    </row>
    <row r="55" spans="1:35" x14ac:dyDescent="0.2">
      <c r="A55" s="1">
        <v>49</v>
      </c>
      <c r="B55" s="2">
        <v>44383.875</v>
      </c>
      <c r="C55" s="69" t="s">
        <v>40</v>
      </c>
      <c r="D55" s="69" t="s">
        <v>217</v>
      </c>
      <c r="E55" s="1" t="s">
        <v>15</v>
      </c>
      <c r="F55" s="62" t="str">
        <f>IF(L52="","Winnaar 46",IF(L52=1,F52,H52))</f>
        <v>Winnaar 46</v>
      </c>
      <c r="G55" s="13" t="s">
        <v>52</v>
      </c>
      <c r="H55" s="63" t="str">
        <f>IF(L51="","Winnaar 45",IF(L51=1,F51,H51))</f>
        <v>Winnaar 45</v>
      </c>
      <c r="I55" s="91"/>
      <c r="J55" s="92" t="s">
        <v>52</v>
      </c>
      <c r="K55" s="93"/>
      <c r="L55" s="102"/>
      <c r="M55" s="98" t="str">
        <f t="shared" si="1"/>
        <v/>
      </c>
      <c r="N55" s="98" t="str">
        <f t="shared" si="2"/>
        <v/>
      </c>
      <c r="W55" s="76" t="s">
        <v>106</v>
      </c>
      <c r="X55" s="29" t="s">
        <v>219</v>
      </c>
      <c r="Y55" s="29" t="str">
        <f t="shared" si="9"/>
        <v>Jurrien Timber (v)</v>
      </c>
      <c r="AB55" s="76" t="s">
        <v>91</v>
      </c>
      <c r="AC55" s="76" t="str">
        <f>IF(U25=""," ",VLOOKUP(AB55,$U$7:$AC$40,3,FALSE))</f>
        <v xml:space="preserve"> </v>
      </c>
    </row>
    <row r="56" spans="1:35" x14ac:dyDescent="0.2">
      <c r="A56" s="1">
        <v>50</v>
      </c>
      <c r="B56" s="2">
        <v>44384.875</v>
      </c>
      <c r="C56" s="69" t="s">
        <v>40</v>
      </c>
      <c r="D56" s="69" t="s">
        <v>191</v>
      </c>
      <c r="E56" s="1" t="s">
        <v>15</v>
      </c>
      <c r="F56" s="62" t="str">
        <f>IF(L54="","Winnaar 48",IF(L54=1,F54,H54))</f>
        <v>Winnaar 48</v>
      </c>
      <c r="G56" s="13" t="s">
        <v>52</v>
      </c>
      <c r="H56" s="63" t="str">
        <f>IF(L53="","Winnaar 47",IF(L53=1,F53,H53))</f>
        <v>Winnaar 47</v>
      </c>
      <c r="I56" s="91"/>
      <c r="J56" s="92" t="s">
        <v>52</v>
      </c>
      <c r="K56" s="93"/>
      <c r="L56" s="102"/>
      <c r="M56" s="98" t="str">
        <f t="shared" si="1"/>
        <v/>
      </c>
      <c r="N56" s="98" t="str">
        <f t="shared" si="2"/>
        <v/>
      </c>
      <c r="X56" s="29"/>
      <c r="Y56" s="29" t="str">
        <f t="shared" si="9"/>
        <v> </v>
      </c>
      <c r="AB56" s="76" t="s">
        <v>96</v>
      </c>
      <c r="AC56" s="76" t="str">
        <f>IF(U31=""," ",VLOOKUP(AB56,$U$7:$AC$40,3,FALSE))</f>
        <v xml:space="preserve"> </v>
      </c>
    </row>
    <row r="57" spans="1:35" x14ac:dyDescent="0.2">
      <c r="A57" s="1">
        <v>51</v>
      </c>
      <c r="B57" s="2">
        <v>44388.875</v>
      </c>
      <c r="C57" s="10" t="s">
        <v>41</v>
      </c>
      <c r="D57" s="10" t="s">
        <v>192</v>
      </c>
      <c r="E57" s="1" t="s">
        <v>15</v>
      </c>
      <c r="F57" s="62" t="str">
        <f>IF(L55="","Winnaar 49",IF(L55=1,F55,H55))</f>
        <v>Winnaar 49</v>
      </c>
      <c r="G57" s="13" t="s">
        <v>52</v>
      </c>
      <c r="H57" s="63" t="str">
        <f>IF(L56="","Winnaar 50",IF(L56=1,F56,H56))</f>
        <v>Winnaar 50</v>
      </c>
      <c r="I57" s="91"/>
      <c r="J57" s="92" t="s">
        <v>52</v>
      </c>
      <c r="K57" s="93"/>
      <c r="L57" s="102"/>
      <c r="M57" s="98" t="str">
        <f t="shared" si="1"/>
        <v/>
      </c>
      <c r="N57" s="98" t="str">
        <f t="shared" si="2"/>
        <v/>
      </c>
      <c r="W57" s="76" t="s">
        <v>108</v>
      </c>
      <c r="X57" s="29" t="s">
        <v>135</v>
      </c>
      <c r="Y57" s="29" t="str">
        <f t="shared" si="9"/>
        <v>Donny van de Beek (m)</v>
      </c>
      <c r="AB57" s="76" t="s">
        <v>99</v>
      </c>
      <c r="AC57" s="76" t="str">
        <f>IF(U37=""," ",VLOOKUP(AB57,$U$7:$AC$40,3,FALSE))</f>
        <v xml:space="preserve"> </v>
      </c>
    </row>
    <row r="58" spans="1:35" x14ac:dyDescent="0.2">
      <c r="W58" s="76" t="s">
        <v>108</v>
      </c>
      <c r="X58" s="29" t="s">
        <v>139</v>
      </c>
      <c r="Y58" s="29" t="str">
        <f t="shared" si="9"/>
        <v>Ryan Gravenberch (m)</v>
      </c>
    </row>
    <row r="59" spans="1:35" ht="20.25" x14ac:dyDescent="0.3">
      <c r="B59" s="153" t="s">
        <v>116</v>
      </c>
      <c r="C59" s="154"/>
      <c r="D59" s="155"/>
      <c r="E59" s="165"/>
      <c r="F59" s="165"/>
      <c r="G59" s="165"/>
      <c r="H59" s="165"/>
      <c r="I59" s="165"/>
      <c r="J59" s="165"/>
      <c r="W59" s="76" t="s">
        <v>108</v>
      </c>
      <c r="X59" s="29" t="s">
        <v>140</v>
      </c>
      <c r="Y59" s="29" t="str">
        <f t="shared" si="9"/>
        <v>Frenkie de Jong (m)</v>
      </c>
      <c r="AD59" s="76" t="s">
        <v>12</v>
      </c>
    </row>
    <row r="60" spans="1:35" x14ac:dyDescent="0.2">
      <c r="B60" s="156">
        <v>2</v>
      </c>
      <c r="C60" s="157"/>
      <c r="D60" s="158"/>
      <c r="E60" s="162"/>
      <c r="F60" s="163"/>
      <c r="G60" s="163"/>
      <c r="H60" s="163"/>
      <c r="I60" s="163"/>
      <c r="J60" s="164"/>
      <c r="W60" s="76" t="s">
        <v>108</v>
      </c>
      <c r="X60" s="29" t="s">
        <v>109</v>
      </c>
      <c r="Y60" s="29" t="str">
        <f t="shared" si="9"/>
        <v>Davy Klaassen (m)</v>
      </c>
      <c r="AD60" s="76" t="s">
        <v>9</v>
      </c>
      <c r="AF60" s="76" t="s">
        <v>202</v>
      </c>
      <c r="AH60" s="76" t="s">
        <v>203</v>
      </c>
    </row>
    <row r="61" spans="1:35" x14ac:dyDescent="0.2">
      <c r="B61" s="159" t="s">
        <v>117</v>
      </c>
      <c r="C61" s="160"/>
      <c r="D61" s="161"/>
      <c r="E61" s="162"/>
      <c r="F61" s="163"/>
      <c r="G61" s="163"/>
      <c r="H61" s="163"/>
      <c r="I61" s="163"/>
      <c r="J61" s="164"/>
      <c r="W61" s="76" t="s">
        <v>108</v>
      </c>
      <c r="X61" s="29" t="s">
        <v>144</v>
      </c>
      <c r="Y61" s="29" t="str">
        <f t="shared" si="9"/>
        <v>Marten de Roon (m)</v>
      </c>
      <c r="AD61" s="76" t="s">
        <v>37</v>
      </c>
      <c r="AF61" s="113" t="str">
        <f>F43</f>
        <v xml:space="preserve"> </v>
      </c>
      <c r="AG61" s="90" t="str">
        <f>IF(L43="","",COUNTIF($AL$61:$AL$76,L43)*3)</f>
        <v/>
      </c>
      <c r="AH61" s="114" t="str">
        <f>F51</f>
        <v>Winnaar 41</v>
      </c>
      <c r="AI61" s="90"/>
    </row>
    <row r="62" spans="1:35" x14ac:dyDescent="0.2">
      <c r="B62" s="156" t="s">
        <v>117</v>
      </c>
      <c r="C62" s="157"/>
      <c r="D62" s="158"/>
      <c r="E62" s="162"/>
      <c r="F62" s="163"/>
      <c r="G62" s="163"/>
      <c r="H62" s="163"/>
      <c r="I62" s="163"/>
      <c r="J62" s="164"/>
      <c r="W62" s="76" t="s">
        <v>108</v>
      </c>
      <c r="X62" s="29" t="s">
        <v>110</v>
      </c>
      <c r="Y62" s="29" t="str">
        <f t="shared" si="9"/>
        <v>Georginio Wijnaldum (m)</v>
      </c>
      <c r="AD62" s="76" t="s">
        <v>16</v>
      </c>
      <c r="AF62" s="113" t="str">
        <f>F44</f>
        <v xml:space="preserve"> </v>
      </c>
      <c r="AG62" s="90"/>
      <c r="AH62" s="114" t="str">
        <f t="shared" ref="AH62:AH64" si="12">F52</f>
        <v>Winnaar 39</v>
      </c>
      <c r="AI62" s="90"/>
    </row>
    <row r="63" spans="1:35" x14ac:dyDescent="0.2">
      <c r="W63" s="76" t="s">
        <v>108</v>
      </c>
      <c r="X63" s="29" t="s">
        <v>220</v>
      </c>
      <c r="Y63" s="29" t="str">
        <f t="shared" si="9"/>
        <v>Teun Koopmeiners (m)</v>
      </c>
      <c r="AD63" s="76" t="s">
        <v>10</v>
      </c>
      <c r="AF63" s="113" t="str">
        <f t="shared" ref="AF63:AF68" si="13">F45</f>
        <v xml:space="preserve"> </v>
      </c>
      <c r="AG63" s="90"/>
      <c r="AH63" s="114" t="str">
        <f t="shared" si="12"/>
        <v>Winnaar 40</v>
      </c>
      <c r="AI63" s="90"/>
    </row>
    <row r="64" spans="1:35" x14ac:dyDescent="0.2">
      <c r="X64" s="29"/>
      <c r="Y64" s="29" t="str">
        <f t="shared" si="9"/>
        <v> </v>
      </c>
      <c r="AD64" s="76" t="s">
        <v>36</v>
      </c>
      <c r="AF64" s="113" t="str">
        <f t="shared" si="13"/>
        <v xml:space="preserve"> </v>
      </c>
      <c r="AG64" s="90"/>
      <c r="AH64" s="114" t="str">
        <f t="shared" si="12"/>
        <v>Winnaar 43</v>
      </c>
      <c r="AI64" s="90"/>
    </row>
    <row r="65" spans="23:35" x14ac:dyDescent="0.2">
      <c r="W65" s="76" t="s">
        <v>111</v>
      </c>
      <c r="X65" s="29" t="s">
        <v>136</v>
      </c>
      <c r="Y65" s="29" t="str">
        <f t="shared" si="9"/>
        <v>Steven Berghuis (a)</v>
      </c>
      <c r="AD65" s="76" t="s">
        <v>51</v>
      </c>
      <c r="AF65" s="113" t="str">
        <f t="shared" si="13"/>
        <v xml:space="preserve"> </v>
      </c>
      <c r="AG65" s="90"/>
      <c r="AH65" s="114" t="str">
        <f>H51</f>
        <v>Winnaar 42</v>
      </c>
      <c r="AI65" s="90"/>
    </row>
    <row r="66" spans="23:35" x14ac:dyDescent="0.2">
      <c r="W66" s="76" t="s">
        <v>111</v>
      </c>
      <c r="X66" s="29" t="s">
        <v>112</v>
      </c>
      <c r="Y66" s="29" t="str">
        <f t="shared" si="9"/>
        <v>Memphis Depay (a)</v>
      </c>
      <c r="AD66" s="76" t="s">
        <v>3</v>
      </c>
      <c r="AF66" s="113" t="str">
        <f t="shared" si="13"/>
        <v xml:space="preserve"> </v>
      </c>
      <c r="AG66" s="90"/>
      <c r="AH66" s="114" t="str">
        <f t="shared" ref="AH66:AH68" si="14">H52</f>
        <v>Winnaar 37</v>
      </c>
      <c r="AI66" s="90"/>
    </row>
    <row r="67" spans="23:35" x14ac:dyDescent="0.2">
      <c r="W67" s="76" t="s">
        <v>111</v>
      </c>
      <c r="X67" s="29" t="s">
        <v>141</v>
      </c>
      <c r="Y67" s="29" t="str">
        <f t="shared" si="9"/>
        <v>Luuk de Jong (a)</v>
      </c>
      <c r="AD67" s="76" t="s">
        <v>17</v>
      </c>
      <c r="AF67" s="113" t="str">
        <f t="shared" si="13"/>
        <v xml:space="preserve"> </v>
      </c>
      <c r="AG67" s="90"/>
      <c r="AH67" s="114" t="str">
        <f t="shared" si="14"/>
        <v>Winnaar 38</v>
      </c>
      <c r="AI67" s="90"/>
    </row>
    <row r="68" spans="23:35" x14ac:dyDescent="0.2">
      <c r="W68" s="76" t="s">
        <v>111</v>
      </c>
      <c r="X68" s="29" t="s">
        <v>143</v>
      </c>
      <c r="Y68" s="29" t="str">
        <f t="shared" si="9"/>
        <v>Donyell Malen (a)</v>
      </c>
      <c r="AD68" s="76" t="s">
        <v>22</v>
      </c>
      <c r="AF68" s="113" t="str">
        <f t="shared" si="13"/>
        <v xml:space="preserve"> </v>
      </c>
      <c r="AG68" s="90"/>
      <c r="AH68" s="114" t="str">
        <f t="shared" si="14"/>
        <v>Winnaar 44</v>
      </c>
      <c r="AI68" s="90"/>
    </row>
    <row r="69" spans="23:35" x14ac:dyDescent="0.2">
      <c r="W69" s="76" t="s">
        <v>111</v>
      </c>
      <c r="X69" s="29" t="s">
        <v>221</v>
      </c>
      <c r="Y69" s="29" t="str">
        <f t="shared" si="9"/>
        <v>Cody Gakpo (a)</v>
      </c>
      <c r="AD69" s="76" t="s">
        <v>48</v>
      </c>
      <c r="AF69" s="90" t="str">
        <f>H43</f>
        <v xml:space="preserve"> </v>
      </c>
      <c r="AG69" s="90"/>
    </row>
    <row r="70" spans="23:35" x14ac:dyDescent="0.2">
      <c r="W70" s="76" t="s">
        <v>111</v>
      </c>
      <c r="X70" s="29" t="s">
        <v>113</v>
      </c>
      <c r="Y70" s="29" t="str">
        <f t="shared" si="9"/>
        <v>Quincy Promes (a)</v>
      </c>
      <c r="AD70" s="76" t="s">
        <v>23</v>
      </c>
      <c r="AF70" s="90" t="str">
        <f t="shared" ref="AF70:AF76" si="15">H44</f>
        <v xml:space="preserve"> </v>
      </c>
      <c r="AG70" s="90"/>
    </row>
    <row r="71" spans="23:35" x14ac:dyDescent="0.2">
      <c r="W71" s="76" t="s">
        <v>111</v>
      </c>
      <c r="X71" s="29" t="s">
        <v>149</v>
      </c>
      <c r="Y71" s="29" t="str">
        <f t="shared" si="9"/>
        <v>Wout Weghorst (a)</v>
      </c>
      <c r="AD71" s="76" t="s">
        <v>20</v>
      </c>
      <c r="AF71" s="90" t="str">
        <f>H45</f>
        <v>-</v>
      </c>
      <c r="AG71" s="90"/>
    </row>
    <row r="72" spans="23:35" x14ac:dyDescent="0.2">
      <c r="W72" s="76" t="s">
        <v>111</v>
      </c>
      <c r="X72" s="29" t="s">
        <v>137</v>
      </c>
      <c r="Y72" s="76" t="str">
        <f t="shared" ref="Y72:Y79" si="16">CONCATENATE(X72," ",W72)</f>
        <v>Steven Bergwijn (a)</v>
      </c>
      <c r="AD72" s="76" t="s">
        <v>28</v>
      </c>
      <c r="AF72" s="90" t="str">
        <f t="shared" si="15"/>
        <v>-</v>
      </c>
      <c r="AG72" s="90"/>
    </row>
    <row r="73" spans="23:35" x14ac:dyDescent="0.2">
      <c r="W73" s="76" t="s">
        <v>111</v>
      </c>
      <c r="X73" s="29" t="s">
        <v>112</v>
      </c>
      <c r="Y73" s="76" t="str">
        <f t="shared" si="16"/>
        <v>Memphis Depay (a)</v>
      </c>
      <c r="AD73" s="76" t="s">
        <v>34</v>
      </c>
      <c r="AF73" s="90" t="str">
        <f t="shared" si="15"/>
        <v xml:space="preserve"> </v>
      </c>
      <c r="AG73" s="90"/>
    </row>
    <row r="74" spans="23:35" x14ac:dyDescent="0.2">
      <c r="W74" s="76" t="s">
        <v>111</v>
      </c>
      <c r="X74" s="29" t="s">
        <v>141</v>
      </c>
      <c r="Y74" s="76" t="str">
        <f t="shared" si="16"/>
        <v>Luuk de Jong (a)</v>
      </c>
      <c r="AD74" s="76" t="s">
        <v>13</v>
      </c>
      <c r="AF74" s="90" t="str">
        <f t="shared" si="15"/>
        <v>-</v>
      </c>
      <c r="AG74" s="90"/>
    </row>
    <row r="75" spans="23:35" x14ac:dyDescent="0.2">
      <c r="W75" s="76" t="s">
        <v>111</v>
      </c>
      <c r="X75" s="29" t="s">
        <v>143</v>
      </c>
      <c r="Y75" s="76" t="str">
        <f t="shared" si="16"/>
        <v>Donyell Malen (a)</v>
      </c>
      <c r="AD75" s="76" t="s">
        <v>49</v>
      </c>
      <c r="AF75" s="90" t="str">
        <f t="shared" si="15"/>
        <v xml:space="preserve"> </v>
      </c>
      <c r="AG75" s="90"/>
    </row>
    <row r="76" spans="23:35" x14ac:dyDescent="0.2">
      <c r="W76" s="76" t="s">
        <v>111</v>
      </c>
      <c r="X76" s="29" t="s">
        <v>221</v>
      </c>
      <c r="Y76" s="76" t="str">
        <f t="shared" si="16"/>
        <v>Cody Gakpo (a)</v>
      </c>
      <c r="AD76" s="76" t="s">
        <v>50</v>
      </c>
      <c r="AF76" s="90" t="str">
        <f t="shared" si="15"/>
        <v>-</v>
      </c>
      <c r="AG76" s="90"/>
    </row>
    <row r="77" spans="23:35" x14ac:dyDescent="0.2">
      <c r="W77" s="76" t="s">
        <v>111</v>
      </c>
      <c r="X77" s="29" t="s">
        <v>113</v>
      </c>
      <c r="Y77" s="76" t="str">
        <f t="shared" si="16"/>
        <v>Quincy Promes (a)</v>
      </c>
      <c r="AD77" s="76" t="s">
        <v>30</v>
      </c>
    </row>
    <row r="78" spans="23:35" x14ac:dyDescent="0.2">
      <c r="W78" s="76" t="s">
        <v>111</v>
      </c>
      <c r="X78" s="29" t="s">
        <v>149</v>
      </c>
      <c r="Y78" s="76" t="str">
        <f t="shared" si="16"/>
        <v>Wout Weghorst (a)</v>
      </c>
      <c r="AD78" s="76" t="s">
        <v>25</v>
      </c>
    </row>
    <row r="79" spans="23:35" x14ac:dyDescent="0.2">
      <c r="W79" s="76" t="s">
        <v>111</v>
      </c>
      <c r="X79" s="29"/>
      <c r="Y79" s="76" t="str">
        <f t="shared" si="16"/>
        <v> (a)</v>
      </c>
      <c r="AD79" s="76" t="s">
        <v>2</v>
      </c>
    </row>
    <row r="80" spans="23:35" x14ac:dyDescent="0.2">
      <c r="X80" s="29"/>
      <c r="AD80" s="76" t="s">
        <v>5</v>
      </c>
    </row>
    <row r="81" spans="24:30" x14ac:dyDescent="0.2">
      <c r="X81" s="29"/>
      <c r="AD81" s="76" t="s">
        <v>31</v>
      </c>
    </row>
    <row r="82" spans="24:30" x14ac:dyDescent="0.2">
      <c r="X82" s="29"/>
      <c r="AD82" s="76" t="s">
        <v>6</v>
      </c>
    </row>
    <row r="83" spans="24:30" x14ac:dyDescent="0.2">
      <c r="X83" s="29"/>
    </row>
  </sheetData>
  <sheetProtection password="F79E" sheet="1" objects="1" scenarios="1"/>
  <mergeCells count="21">
    <mergeCell ref="Q51:U51"/>
    <mergeCell ref="Q46:U46"/>
    <mergeCell ref="Q47:U47"/>
    <mergeCell ref="Q48:U48"/>
    <mergeCell ref="Q49:U49"/>
    <mergeCell ref="Q50:U50"/>
    <mergeCell ref="I6:K6"/>
    <mergeCell ref="P42:U42"/>
    <mergeCell ref="Q43:U43"/>
    <mergeCell ref="Q44:U44"/>
    <mergeCell ref="Q45:U45"/>
    <mergeCell ref="Q53:U53"/>
    <mergeCell ref="E59:J59"/>
    <mergeCell ref="E60:J60"/>
    <mergeCell ref="E61:J61"/>
    <mergeCell ref="Q52:U52"/>
    <mergeCell ref="B59:D59"/>
    <mergeCell ref="B60:D60"/>
    <mergeCell ref="B61:D61"/>
    <mergeCell ref="B62:D62"/>
    <mergeCell ref="E62:J62"/>
  </mergeCells>
  <conditionalFormatting sqref="Q43:U53">
    <cfRule type="duplicateValues" dxfId="1" priority="2"/>
  </conditionalFormatting>
  <conditionalFormatting sqref="Q43:U53">
    <cfRule type="duplicateValues" dxfId="0" priority="1"/>
  </conditionalFormatting>
  <dataValidations count="10">
    <dataValidation type="list" allowBlank="1" showInputMessage="1" showErrorMessage="1" sqref="U37:U40">
      <formula1>$X$37:$X$40</formula1>
    </dataValidation>
    <dataValidation type="list" allowBlank="1" showInputMessage="1" showErrorMessage="1" sqref="E59:J62">
      <formula1>$AD$59:$AD$82</formula1>
    </dataValidation>
    <dataValidation type="list" allowBlank="1" showInputMessage="1" showErrorMessage="1" sqref="U7:U10">
      <formula1>$X$7:$X$10</formula1>
    </dataValidation>
    <dataValidation type="list" allowBlank="1" showInputMessage="1" showErrorMessage="1" sqref="U13:U16">
      <formula1>$X$13:$X$16</formula1>
    </dataValidation>
    <dataValidation type="list" allowBlank="1" showInputMessage="1" showErrorMessage="1" sqref="U19:U22">
      <formula1>$X$19:$X$22</formula1>
    </dataValidation>
    <dataValidation type="list" allowBlank="1" showInputMessage="1" showErrorMessage="1" sqref="U25:U28">
      <formula1>$X$25:$X$28</formula1>
    </dataValidation>
    <dataValidation type="list" allowBlank="1" showInputMessage="1" showErrorMessage="1" sqref="U31:U34">
      <formula1>$X$31:$X$34</formula1>
    </dataValidation>
    <dataValidation type="list" allowBlank="1" showInputMessage="1" showErrorMessage="1" sqref="L43:L57">
      <formula1>$AA$43:$AA$44</formula1>
    </dataValidation>
    <dataValidation type="list" allowBlank="1" showInputMessage="1" showErrorMessage="1" sqref="H45:H46 H48 H50">
      <formula1>$AC$51:$AC$57</formula1>
    </dataValidation>
    <dataValidation type="list" allowBlank="1" showInputMessage="1" showErrorMessage="1" sqref="Q43:U53">
      <formula1>$Y$43:$Y$79</formula1>
    </dataValidation>
  </dataValidations>
  <pageMargins left="0.7" right="0.7" top="0.75" bottom="0.75" header="0.3" footer="0.3"/>
  <ignoredErrors>
    <ignoredError sqref="H43:H44" evalError="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Spelregels</vt:lpstr>
      <vt:lpstr>ranglijst</vt:lpstr>
      <vt:lpstr>Voorspelling</vt:lpstr>
      <vt:lpstr>uitslag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 -</dc:creator>
  <cp:lastModifiedBy>Marcel Meerkerk</cp:lastModifiedBy>
  <dcterms:created xsi:type="dcterms:W3CDTF">2021-02-07T14:04:44Z</dcterms:created>
  <dcterms:modified xsi:type="dcterms:W3CDTF">2021-06-02T13:28:44Z</dcterms:modified>
</cp:coreProperties>
</file>